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e\Объекты\2021 год\Юр. лица\АО Челябинскгоргаз\ул. Грозненская, 64 (геодезия, геология)\КП и сметы (геология)\"/>
    </mc:Choice>
  </mc:AlternateContent>
  <bookViews>
    <workbookView xWindow="0" yWindow="0" windowWidth="13860" windowHeight="10635" activeTab="2"/>
  </bookViews>
  <sheets>
    <sheet name="СВОДНАЯ КАЛЬКУЛЯЦИЯ" sheetId="6" r:id="rId1"/>
    <sheet name="смета ПРОЕКТ" sheetId="3" r:id="rId2"/>
    <sheet name="смета ГЕОЛОГИЯ" sheetId="1" r:id="rId3"/>
    <sheet name="смета ГЕОДЕЗИЯ" sheetId="4" r:id="rId4"/>
    <sheet name="смета СХЕМА" sheetId="5" r:id="rId5"/>
    <sheet name="Формула числа прописью (2)" sheetId="7" r:id="rId6"/>
    <sheet name="Формула числа прописью" sheetId="2" r:id="rId7"/>
  </sheets>
  <definedNames>
    <definedName name="_xlnm.Print_Area" localSheetId="1">'смета ПРОЕКТ'!$A$1:$D$18</definedName>
  </definedNames>
  <calcPr calcId="162913"/>
</workbook>
</file>

<file path=xl/calcChain.xml><?xml version="1.0" encoding="utf-8"?>
<calcChain xmlns="http://schemas.openxmlformats.org/spreadsheetml/2006/main">
  <c r="E21" i="1" l="1"/>
  <c r="G11" i="1" l="1"/>
  <c r="G14" i="1"/>
  <c r="G12" i="1"/>
  <c r="G13" i="1"/>
  <c r="F11" i="4"/>
  <c r="F29" i="4" s="1"/>
  <c r="F16" i="4"/>
  <c r="F17" i="4"/>
  <c r="F21" i="4"/>
  <c r="F25" i="4"/>
  <c r="E29" i="7"/>
  <c r="B9" i="7"/>
  <c r="M12" i="7"/>
  <c r="N3" i="7"/>
  <c r="P3" i="7" s="1"/>
  <c r="G16" i="1"/>
  <c r="G17" i="1"/>
  <c r="G18" i="1"/>
  <c r="G19" i="1"/>
  <c r="G21" i="1"/>
  <c r="G22" i="1"/>
  <c r="G24" i="1"/>
  <c r="G26" i="1"/>
  <c r="B9" i="2"/>
  <c r="D14" i="3"/>
  <c r="D15" i="3" s="1"/>
  <c r="B4" i="6" s="1"/>
  <c r="B7" i="6"/>
  <c r="M12" i="2"/>
  <c r="N3" i="2"/>
  <c r="Q4" i="2" s="1"/>
  <c r="F30" i="4" l="1"/>
  <c r="G23" i="1"/>
  <c r="G25" i="1" s="1"/>
  <c r="G15" i="1"/>
  <c r="F31" i="4"/>
  <c r="F35" i="4" s="1"/>
  <c r="G20" i="1"/>
  <c r="S3" i="2"/>
  <c r="S4" i="2"/>
  <c r="R3" i="2"/>
  <c r="P3" i="2"/>
  <c r="R3" i="7"/>
  <c r="Q4" i="7"/>
  <c r="F28" i="1" l="1"/>
  <c r="G28" i="1" s="1"/>
  <c r="G29" i="1" s="1"/>
  <c r="F30" i="1" s="1"/>
  <c r="G30" i="1" s="1"/>
  <c r="F39" i="4"/>
  <c r="F40" i="4" s="1"/>
  <c r="F41" i="4" s="1"/>
  <c r="F42" i="4" s="1"/>
  <c r="F43" i="4" s="1"/>
  <c r="B5" i="6" s="1"/>
  <c r="Q3" i="2"/>
  <c r="K4" i="2" s="1"/>
  <c r="S4" i="7"/>
  <c r="S3" i="7"/>
  <c r="G31" i="1" l="1"/>
  <c r="E32" i="1" s="1"/>
  <c r="E13" i="7"/>
  <c r="A29" i="7" s="1"/>
  <c r="A28" i="7" s="1"/>
  <c r="A27" i="7" s="1"/>
  <c r="E2" i="7"/>
  <c r="A31" i="7" s="1"/>
  <c r="C31" i="7" s="1"/>
  <c r="C32" i="7" s="1"/>
  <c r="E32" i="7" s="1"/>
  <c r="Q3" i="7"/>
  <c r="K4" i="7" s="1"/>
  <c r="G32" i="1" l="1"/>
  <c r="G33" i="1" s="1"/>
  <c r="G34" i="1" s="1"/>
  <c r="E13" i="2" s="1"/>
  <c r="A29" i="2" s="1"/>
  <c r="B28" i="7"/>
  <c r="C29" i="7" s="1"/>
  <c r="E31" i="7"/>
  <c r="A12" i="7"/>
  <c r="B27" i="7"/>
  <c r="A25" i="7"/>
  <c r="E33" i="1" l="1"/>
  <c r="E2" i="2"/>
  <c r="B6" i="6"/>
  <c r="B8" i="6" s="1"/>
  <c r="C28" i="7"/>
  <c r="E28" i="7" s="1"/>
  <c r="A24" i="7"/>
  <c r="B25" i="7"/>
  <c r="E25" i="7" s="1"/>
  <c r="E30" i="7"/>
  <c r="E27" i="7"/>
  <c r="C27" i="7"/>
  <c r="D29" i="7"/>
  <c r="F29" i="7"/>
  <c r="A31" i="2"/>
  <c r="C31" i="2" s="1"/>
  <c r="C32" i="2" s="1"/>
  <c r="E32" i="2" s="1"/>
  <c r="A28" i="2"/>
  <c r="B29" i="2"/>
  <c r="E29" i="2" s="1"/>
  <c r="A23" i="7" l="1"/>
  <c r="B24" i="7"/>
  <c r="B28" i="2"/>
  <c r="A27" i="2"/>
  <c r="E31" i="2"/>
  <c r="A12" i="2"/>
  <c r="C25" i="7" l="1"/>
  <c r="C24" i="7"/>
  <c r="E24" i="7" s="1"/>
  <c r="B23" i="7"/>
  <c r="A21" i="7"/>
  <c r="A25" i="2"/>
  <c r="B27" i="2"/>
  <c r="C28" i="2"/>
  <c r="E28" i="2" s="1"/>
  <c r="C29" i="2"/>
  <c r="C23" i="7" l="1"/>
  <c r="E26" i="7"/>
  <c r="E23" i="7"/>
  <c r="B21" i="7"/>
  <c r="A20" i="7"/>
  <c r="F25" i="7"/>
  <c r="D25" i="7"/>
  <c r="C27" i="2"/>
  <c r="E27" i="2"/>
  <c r="E30" i="2"/>
  <c r="F29" i="2"/>
  <c r="D29" i="2"/>
  <c r="A24" i="2"/>
  <c r="B25" i="2"/>
  <c r="E25" i="2" s="1"/>
  <c r="F26" i="7" l="1"/>
  <c r="A10" i="7" s="1"/>
  <c r="A19" i="7"/>
  <c r="B20" i="7"/>
  <c r="E21" i="7"/>
  <c r="A23" i="2"/>
  <c r="B24" i="2"/>
  <c r="C21" i="7" l="1"/>
  <c r="C20" i="7"/>
  <c r="E20" i="7" s="1"/>
  <c r="A17" i="7"/>
  <c r="B19" i="7"/>
  <c r="C24" i="2"/>
  <c r="E24" i="2" s="1"/>
  <c r="C25" i="2"/>
  <c r="B23" i="2"/>
  <c r="A21" i="2"/>
  <c r="C19" i="7" l="1"/>
  <c r="E19" i="7"/>
  <c r="E22" i="7"/>
  <c r="A16" i="7"/>
  <c r="B17" i="7"/>
  <c r="D21" i="7"/>
  <c r="F21" i="7"/>
  <c r="B21" i="2"/>
  <c r="A20" i="2"/>
  <c r="E23" i="2"/>
  <c r="C23" i="2"/>
  <c r="E26" i="2"/>
  <c r="F25" i="2"/>
  <c r="D25" i="2"/>
  <c r="E17" i="7" l="1"/>
  <c r="B16" i="7"/>
  <c r="A15" i="7"/>
  <c r="F22" i="7"/>
  <c r="A9" i="7" s="1"/>
  <c r="F26" i="2"/>
  <c r="A10" i="2" s="1"/>
  <c r="A19" i="2"/>
  <c r="B20" i="2"/>
  <c r="E21" i="2"/>
  <c r="C17" i="7" l="1"/>
  <c r="C16" i="7"/>
  <c r="E16" i="7" s="1"/>
  <c r="B15" i="7"/>
  <c r="E18" i="7" s="1"/>
  <c r="A14" i="7"/>
  <c r="A17" i="2"/>
  <c r="B19" i="2"/>
  <c r="C21" i="2"/>
  <c r="C20" i="2"/>
  <c r="E20" i="2" s="1"/>
  <c r="D17" i="7" l="1"/>
  <c r="F17" i="7"/>
  <c r="C15" i="7"/>
  <c r="E15" i="7"/>
  <c r="F18" i="7"/>
  <c r="A8" i="7" s="1"/>
  <c r="F30" i="7"/>
  <c r="A11" i="7" s="1"/>
  <c r="F21" i="2"/>
  <c r="D21" i="2"/>
  <c r="E19" i="2"/>
  <c r="C19" i="2"/>
  <c r="A16" i="2"/>
  <c r="B17" i="2"/>
  <c r="E22" i="2"/>
  <c r="B5" i="7" l="1"/>
  <c r="B6" i="7"/>
  <c r="F22" i="2"/>
  <c r="A9" i="2" s="1"/>
  <c r="E17" i="2"/>
  <c r="A15" i="2"/>
  <c r="B16" i="2"/>
  <c r="F8" i="7" l="1"/>
  <c r="F9" i="7" s="1"/>
  <c r="F10" i="7" s="1"/>
  <c r="B15" i="2"/>
  <c r="A14" i="2"/>
  <c r="C16" i="2"/>
  <c r="E16" i="2" s="1"/>
  <c r="C17" i="2"/>
  <c r="B3" i="7" l="1"/>
  <c r="B44" i="4" s="1"/>
  <c r="B4" i="7"/>
  <c r="F17" i="2"/>
  <c r="D17" i="2"/>
  <c r="E15" i="2"/>
  <c r="C15" i="2"/>
  <c r="E18" i="2"/>
  <c r="F18" i="2" l="1"/>
  <c r="A8" i="2" s="1"/>
  <c r="F30" i="2"/>
  <c r="A11" i="2" s="1"/>
  <c r="B5" i="2" l="1"/>
  <c r="B6" i="2"/>
  <c r="F8" i="2" l="1"/>
  <c r="F9" i="2" s="1"/>
  <c r="F10" i="2" s="1"/>
  <c r="B3" i="2" l="1"/>
  <c r="B4" i="2"/>
</calcChain>
</file>

<file path=xl/comments1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comments2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sharedStrings.xml><?xml version="1.0" encoding="utf-8"?>
<sst xmlns="http://schemas.openxmlformats.org/spreadsheetml/2006/main" count="391" uniqueCount="274">
  <si>
    <r>
      <rPr>
        <sz val="9"/>
        <rFont val="Arial Unicode MS"/>
        <family val="2"/>
        <charset val="204"/>
      </rPr>
      <t>Объект:</t>
    </r>
  </si>
  <si>
    <t>№ п/п</t>
  </si>
  <si>
    <t>Виды работ</t>
  </si>
  <si>
    <t>Ед.изм.</t>
  </si>
  <si>
    <t>Кол-во</t>
  </si>
  <si>
    <t>1</t>
  </si>
  <si>
    <t>2</t>
  </si>
  <si>
    <t>3</t>
  </si>
  <si>
    <t>ИТОГО полевых работ:</t>
  </si>
  <si>
    <t>4</t>
  </si>
  <si>
    <t>Полный комплекс определения физических свойств гнилистых грунтов за исключ.ситового метода при гран.анализе</t>
  </si>
  <si>
    <t>СБЦ на лаборат работы т. 63 §9</t>
  </si>
  <si>
    <t>5</t>
  </si>
  <si>
    <t>Сокращ. комплекс физико-механических свойств грунтов при консолидир. срезеи компрессион. испытаниях</t>
  </si>
  <si>
    <t>проб.</t>
  </si>
  <si>
    <t>6</t>
  </si>
  <si>
    <t>Гранулометрический анализ ситовым методом</t>
  </si>
  <si>
    <t>Т64 §9</t>
  </si>
  <si>
    <t>7</t>
  </si>
  <si>
    <t>Стандартный анализ воды</t>
  </si>
  <si>
    <t>8</t>
  </si>
  <si>
    <t>Камеральная обработка материалов буровых работ</t>
  </si>
  <si>
    <t>п. м.</t>
  </si>
  <si>
    <t>9</t>
  </si>
  <si>
    <t>Камеральная обработка данных лабораторных исследований</t>
  </si>
  <si>
    <t>Т86§1</t>
  </si>
  <si>
    <t>%</t>
  </si>
  <si>
    <t>10</t>
  </si>
  <si>
    <t>Составление инженерно-геологического отчета</t>
  </si>
  <si>
    <t>ВСЕГО камеральных работ:</t>
  </si>
  <si>
    <t>11</t>
  </si>
  <si>
    <t>Внутренний транспорт</t>
  </si>
  <si>
    <t>12</t>
  </si>
  <si>
    <t>Внешний транспорт</t>
  </si>
  <si>
    <t>Т5§1</t>
  </si>
  <si>
    <t>13</t>
  </si>
  <si>
    <t>Организация и ликвидация работ</t>
  </si>
  <si>
    <t>15</t>
  </si>
  <si>
    <t>ИТОГО прочих расходов:</t>
  </si>
  <si>
    <t>14</t>
  </si>
  <si>
    <t>ИТОГО по смете:</t>
  </si>
  <si>
    <t>16</t>
  </si>
  <si>
    <t>ВСЕГО по смете (без НДС):</t>
  </si>
  <si>
    <t>СМЕТА</t>
  </si>
  <si>
    <t xml:space="preserve">п. м. </t>
  </si>
  <si>
    <t>ИТОГО лабораторных работ:</t>
  </si>
  <si>
    <t>Справочник базовых цен. 1999</t>
  </si>
  <si>
    <t>Цена. руб.</t>
  </si>
  <si>
    <t>Сумма. тыс. руб.</t>
  </si>
  <si>
    <t>Плановая и высотная привязки выработок II категории при расстоянии до 50м 8.5x0.5x0.85</t>
  </si>
  <si>
    <t>СБЦ на инженерно-геологические изыск. Т 93 §2.3 К-0.5 прим. п.1 К-0.85 п.14</t>
  </si>
  <si>
    <t>К-0.85 п.14</t>
  </si>
  <si>
    <t>Т57. §1 К-0.85 п.14</t>
  </si>
  <si>
    <t>Т 63. §11+§17. за искл. Т63§1;Т6§3;Т62 §5 Т64 §12</t>
  </si>
  <si>
    <t>Т.73. §2</t>
  </si>
  <si>
    <t>Глава 21 камеральн.обработка Т82 § 1 : к=1.2 п.З</t>
  </si>
  <si>
    <t>Т 87. §1.- прим.п.4 Кат. сложности 2</t>
  </si>
  <si>
    <t>П 13 (6x2.5)</t>
  </si>
  <si>
    <t>ИТОГО камеральных работ:</t>
  </si>
  <si>
    <t xml:space="preserve">Районный коэффициент </t>
  </si>
  <si>
    <t>Т3</t>
  </si>
  <si>
    <t>Составитель сметы</t>
  </si>
  <si>
    <t>Кодулев Ю.А</t>
  </si>
  <si>
    <t>дата составления: 03.02.2020г.</t>
  </si>
  <si>
    <t>Колонковое бурение скважин диаметром до 160мм. глуб. до 15м. с отбором керна. категории II - 38.4x0.9x0.85</t>
  </si>
  <si>
    <t>категории III - 42.6x0.9x0.85</t>
  </si>
  <si>
    <t xml:space="preserve">Т 17                                                                                                                                                                                                                                                                                 К-0.9 прим. к табл. 17                                                                        </t>
  </si>
  <si>
    <t>СБЦ на инженерно-геологические работы Т4§4</t>
  </si>
  <si>
    <t>Отбор монолитов грунтов из скважин глубиной до 10м 22.9x0.85</t>
  </si>
  <si>
    <t>В ячейке Е2 должна быть ссылка на исходное число</t>
  </si>
  <si>
    <t>Заглавная без НДС</t>
  </si>
  <si>
    <t xml:space="preserve">Сегодня с утра судя по всему было </t>
  </si>
  <si>
    <t>Заглавная с НДС</t>
  </si>
  <si>
    <t>маленькая без НДС</t>
  </si>
  <si>
    <t>маленькая с НДС</t>
  </si>
  <si>
    <t>Для справки - смотрите примечания к ячейкам E4 B8 B9 этого листа и H2 и C34 предыдущего.</t>
  </si>
  <si>
    <t xml:space="preserve"> (в т.ч. НДС - </t>
  </si>
  <si>
    <t>)</t>
  </si>
  <si>
    <t>рублей</t>
  </si>
  <si>
    <t>коп.</t>
  </si>
  <si>
    <t xml:space="preserve">один </t>
  </si>
  <si>
    <t xml:space="preserve">одна </t>
  </si>
  <si>
    <t xml:space="preserve">десять </t>
  </si>
  <si>
    <t xml:space="preserve">два </t>
  </si>
  <si>
    <t xml:space="preserve">две </t>
  </si>
  <si>
    <t xml:space="preserve">одиннадцать </t>
  </si>
  <si>
    <t xml:space="preserve">двадцать </t>
  </si>
  <si>
    <t xml:space="preserve">двести </t>
  </si>
  <si>
    <t xml:space="preserve">три </t>
  </si>
  <si>
    <t xml:space="preserve">двенадцать </t>
  </si>
  <si>
    <t xml:space="preserve">тридцать </t>
  </si>
  <si>
    <t xml:space="preserve">триста </t>
  </si>
  <si>
    <t xml:space="preserve">четыре </t>
  </si>
  <si>
    <t xml:space="preserve">тринадцать </t>
  </si>
  <si>
    <t xml:space="preserve">сорок </t>
  </si>
  <si>
    <t xml:space="preserve">четыреста </t>
  </si>
  <si>
    <t xml:space="preserve">пять </t>
  </si>
  <si>
    <t xml:space="preserve">четырнадцать </t>
  </si>
  <si>
    <t xml:space="preserve">пятьдесят </t>
  </si>
  <si>
    <t xml:space="preserve">пятьсот </t>
  </si>
  <si>
    <t xml:space="preserve">шесть </t>
  </si>
  <si>
    <t xml:space="preserve">пятнадцать </t>
  </si>
  <si>
    <t xml:space="preserve">шестьдесят </t>
  </si>
  <si>
    <t xml:space="preserve">шестьсот </t>
  </si>
  <si>
    <t xml:space="preserve">семь </t>
  </si>
  <si>
    <t xml:space="preserve">шестнадцать </t>
  </si>
  <si>
    <t xml:space="preserve">семьдесят </t>
  </si>
  <si>
    <t xml:space="preserve">семьсот </t>
  </si>
  <si>
    <t xml:space="preserve">восемь </t>
  </si>
  <si>
    <t xml:space="preserve">семнадцать </t>
  </si>
  <si>
    <t xml:space="preserve">восемьдесят </t>
  </si>
  <si>
    <t xml:space="preserve">восемьсот </t>
  </si>
  <si>
    <t xml:space="preserve">девять </t>
  </si>
  <si>
    <t xml:space="preserve">восемнадцать </t>
  </si>
  <si>
    <t xml:space="preserve">девяносто </t>
  </si>
  <si>
    <t xml:space="preserve">девятьсот </t>
  </si>
  <si>
    <t xml:space="preserve">девятнадцать </t>
  </si>
  <si>
    <t xml:space="preserve">сто </t>
  </si>
  <si>
    <t>Сумма:</t>
  </si>
  <si>
    <t xml:space="preserve">Договорной понижающий коэффициент </t>
  </si>
  <si>
    <t>скв.</t>
  </si>
  <si>
    <t>мон.</t>
  </si>
  <si>
    <t>"Газопровод низкого давления по адресу:ФАП Челябинская область Увельский</t>
  </si>
  <si>
    <t>Директор ООО "Газпромпроект"</t>
  </si>
  <si>
    <t>___________ Завгородних И.В.</t>
  </si>
  <si>
    <t>Наименование объекта:</t>
  </si>
  <si>
    <t>Характеристика</t>
  </si>
  <si>
    <t>Значение</t>
  </si>
  <si>
    <t>Всего, тыс.руб без НДС 20%</t>
  </si>
  <si>
    <t xml:space="preserve">Надземный газопровод протяжённостью, до 0,1 км      </t>
  </si>
  <si>
    <t xml:space="preserve">СБЦП 81-2001-14.  т.7 п.2        </t>
  </si>
  <si>
    <t>А=18,977 В=0</t>
  </si>
  <si>
    <t>Стадия  Проектная документация (ПЗ,ППО,ТКР,СД)</t>
  </si>
  <si>
    <t>К1- п.2.2.13, диаметр меньше 100мм</t>
  </si>
  <si>
    <t>К2- п.2.2.6</t>
  </si>
  <si>
    <t>К3-районный коэффициент для проектирования (СБЦ2004г., табл.3, § 2)</t>
  </si>
  <si>
    <t>К4-перевод в текущие цены  
Письмо Минстроя России от 09.12.2019 N 46999-ДВ/09</t>
  </si>
  <si>
    <t>Итого по смете:</t>
  </si>
  <si>
    <t>Итого по смете:31,505 тыс. руб. без НДС (Тридцать одна тысяча пятьсот пять)</t>
  </si>
  <si>
    <t>Составил ___________ Шевцова С.С.                                      Првоерил ____________ Завгородних И.В.</t>
  </si>
  <si>
    <t>Обоснование стоимости: Справочник БЦ на инженерные изыскания для строительства  (инж-геодез.изыскания) , Госстрой России 2004г.</t>
  </si>
  <si>
    <t>Наименование работ и затрат</t>
  </si>
  <si>
    <t>Цена руб.</t>
  </si>
  <si>
    <t>Стоимость, руб.</t>
  </si>
  <si>
    <t>т.9 п.5,</t>
  </si>
  <si>
    <t>к - 0,85 общ. указ. п.14.</t>
  </si>
  <si>
    <t>примечание 4 к  т.9</t>
  </si>
  <si>
    <t>к - 0,5 обновл.примеч.3 к т.9</t>
  </si>
  <si>
    <t>т.75 п.2 прим. 3</t>
  </si>
  <si>
    <t xml:space="preserve">            </t>
  </si>
  <si>
    <t>Проверка полноты планов в эксплуатирующих организациях</t>
  </si>
  <si>
    <t>т.75 п.1</t>
  </si>
  <si>
    <t>Составление плана подземных и надземных коммуникаций</t>
  </si>
  <si>
    <t>т.79 п.1</t>
  </si>
  <si>
    <t>Итого полевых работ:</t>
  </si>
  <si>
    <t>Итого камеральных работ:</t>
  </si>
  <si>
    <t>т.4 п.8</t>
  </si>
  <si>
    <t>к - 0,25</t>
  </si>
  <si>
    <t xml:space="preserve">Расходы по внутреннему транспорту                                           </t>
  </si>
  <si>
    <t>6% - п. 13 общ. указ.</t>
  </si>
  <si>
    <t>к - 2,5 общ.указ.прим.1</t>
  </si>
  <si>
    <t>Итого:</t>
  </si>
  <si>
    <t>к - 1,8 п.19 общ. указ.</t>
  </si>
  <si>
    <t>т.3 п.2 районн. к. - 1,08</t>
  </si>
  <si>
    <t>Итого по смете (без НДС):</t>
  </si>
  <si>
    <t>Заказчик: АО «Газпром газораспределение Челябинск»</t>
  </si>
  <si>
    <t>Исполнитель: ООО "Газпромпроект"</t>
  </si>
  <si>
    <t>Завгородних И.В.</t>
  </si>
  <si>
    <t>АО «Газпром газораспределение Челябинск»</t>
  </si>
  <si>
    <t>№ и обозначе</t>
  </si>
  <si>
    <t>ния строк</t>
  </si>
  <si>
    <t>Объём работ</t>
  </si>
  <si>
    <t>Применяемые таблицы</t>
  </si>
  <si>
    <t>Формула расчёта</t>
  </si>
  <si>
    <t>Трудоёмкость(чел-часы)</t>
  </si>
  <si>
    <t>Подготовительные работы</t>
  </si>
  <si>
    <t>-</t>
  </si>
  <si>
    <t>т1,т2,т4а</t>
  </si>
  <si>
    <t>ИТОГО (сумма стр. 1.1+1.2+1.3)</t>
  </si>
  <si>
    <t>31.94</t>
  </si>
  <si>
    <t>Изучение документов</t>
  </si>
  <si>
    <t>т1</t>
  </si>
  <si>
    <t>А+В</t>
  </si>
  <si>
    <t>а</t>
  </si>
  <si>
    <t>Объект – земельный участок (шт.)</t>
  </si>
  <si>
    <t>А=5,6</t>
  </si>
  <si>
    <t>в</t>
  </si>
  <si>
    <t>Кол-во видов документов (шт.)</t>
  </si>
  <si>
    <t>В=1,6</t>
  </si>
  <si>
    <t>Полевое обследование геодезической основы Таблица 2</t>
  </si>
  <si>
    <t>т.2</t>
  </si>
  <si>
    <t>ИТОГО</t>
  </si>
  <si>
    <t>16.00</t>
  </si>
  <si>
    <t>Объект – пункт ОМС (шт.)</t>
  </si>
  <si>
    <t>А=2*8</t>
  </si>
  <si>
    <t>Составление разбивочного чертежа М=1:500</t>
  </si>
  <si>
    <t>т.4а</t>
  </si>
  <si>
    <t>ИТОГО А+В</t>
  </si>
  <si>
    <t>А=2*2.4</t>
  </si>
  <si>
    <t>Протяжённость границ земельных участков (км)</t>
  </si>
  <si>
    <t>0.059</t>
  </si>
  <si>
    <t>В=1,2*0,0059*1,35</t>
  </si>
  <si>
    <t>0.10</t>
  </si>
  <si>
    <t>определение координат пунктов съёмочного обоснования</t>
  </si>
  <si>
    <t>т.8</t>
  </si>
  <si>
    <t>5.00</t>
  </si>
  <si>
    <t>Количество точек (шт.)</t>
  </si>
  <si>
    <t>II категория стат.Режим</t>
  </si>
  <si>
    <t>А=2*2,5</t>
  </si>
  <si>
    <t>Определение координат характерных точек земельного участка</t>
  </si>
  <si>
    <t>т.9</t>
  </si>
  <si>
    <t>Количество точек 2-х земельных участков (шт.)</t>
  </si>
  <si>
    <t>III категория до 500м.</t>
  </si>
  <si>
    <t>А=0.61*13</t>
  </si>
  <si>
    <t>Вычерчивание графической части схемы</t>
  </si>
  <si>
    <t>т.13</t>
  </si>
  <si>
    <t>Схема на использование (шт.)</t>
  </si>
  <si>
    <t>А=2*4.0</t>
  </si>
  <si>
    <t>8.00</t>
  </si>
  <si>
    <t>Лист формата А4</t>
  </si>
  <si>
    <t>В=1.6*2</t>
  </si>
  <si>
    <t>Оформление схемы на использование</t>
  </si>
  <si>
    <t>т.16</t>
  </si>
  <si>
    <t>Всего:</t>
  </si>
  <si>
    <t>Сумма строк 1-5</t>
  </si>
  <si>
    <t>72.07</t>
  </si>
  <si>
    <t xml:space="preserve"> Всего без НДС            72.07</t>
  </si>
  <si>
    <t xml:space="preserve">Смета составлена на основании Приказа Минэкономразвития РФ №14 от 18.01.2012 г. </t>
  </si>
  <si>
    <t>Расчёт цены нормативного человеко-часа кадастровых работ</t>
  </si>
  <si>
    <t>Цена нормо-часа=22000/147*2.5=374 руб./чел-час</t>
  </si>
  <si>
    <t>Нормо-час</t>
  </si>
  <si>
    <t>Всего часов</t>
  </si>
  <si>
    <t>Договор.коэф.</t>
  </si>
  <si>
    <t>Размер платы</t>
  </si>
  <si>
    <t>374.00</t>
  </si>
  <si>
    <t>0.15</t>
  </si>
  <si>
    <t>ИТОГО: четыре тысячи сорок три рубля 00 копеек</t>
  </si>
  <si>
    <t>на кадастровые работы: схема на использование земельных участков</t>
  </si>
  <si>
    <t>Наименование работы</t>
  </si>
  <si>
    <t>Проектные работы</t>
  </si>
  <si>
    <t>инженерно-топографические изыскания</t>
  </si>
  <si>
    <t>инженерно-геологические изыскания</t>
  </si>
  <si>
    <t>кадастровые работы</t>
  </si>
  <si>
    <t>Стоимость</t>
  </si>
  <si>
    <t>ИТОГО по ПИР</t>
  </si>
  <si>
    <t>6 126х4,35</t>
  </si>
  <si>
    <t>Письмо Минстроя России от 09.12.2019 N 46999-ДВ/09                          Инфляционный коэффициент к -4,35</t>
  </si>
  <si>
    <t>Выполнение проектных работ по объекту: ФАП Челябинская область, район Увельский, п. Подгорный, ул. Степная, д. 18. Газоснабжение (протяженность 85м)</t>
  </si>
  <si>
    <t>Показатель объекта : А+В*Х=18,977+0,085*0</t>
  </si>
  <si>
    <t>Формула пункта:(18,977+0,085*0)*1*0,9*0,4*1,08*4,27</t>
  </si>
  <si>
    <t>муниципальный район, п. Подгорный, ул. Степная, д.18</t>
  </si>
  <si>
    <t xml:space="preserve">Составление технического отчёта (608+278+1440+551) х 10% = </t>
  </si>
  <si>
    <t>608х0,25</t>
  </si>
  <si>
    <t>Расходы по организации и ликвидации работ 6%  (608+152) х 0,06 х 2,5</t>
  </si>
  <si>
    <t>3 431х1,8</t>
  </si>
  <si>
    <t>6 176х1,08</t>
  </si>
  <si>
    <t>Заказчик: АО «Челябинскгоргаз»</t>
  </si>
  <si>
    <t>Исполнитель: ООО "Геоид"</t>
  </si>
  <si>
    <t>на производство инженерно-геологических изысканий</t>
  </si>
  <si>
    <t>управляющий ООО "Геоид"</t>
  </si>
  <si>
    <t>Ярославцев В.В.</t>
  </si>
  <si>
    <t>на производство инженерно-геодезических изысканий</t>
  </si>
  <si>
    <t>Объект:</t>
  </si>
  <si>
    <t>к - 1,55 выясн. подзем..комм.</t>
  </si>
  <si>
    <t>к - 1,75 общ. указ. п. 15, "е"                              к- 1,1 общ. указ. п.15, "б"  (использование материалов ограниченного пользования)                                    к - 0,5 обнов. примеч. 3 к т.9</t>
  </si>
  <si>
    <t xml:space="preserve">Геодезические работы по обновлению инженерно-топографических планов на застроенной территории М 1:500 кат. 3 0,12 га.                      4824х0,85х1,55х0,5 </t>
  </si>
  <si>
    <t>1559х1,75х1,1х0,5</t>
  </si>
  <si>
    <t xml:space="preserve">"Газоснабжение жилых домов по ул. Транзитная 32, 40-1, 40-2; 
</t>
  </si>
  <si>
    <t xml:space="preserve">ул. Фабрично-Заводская 60, 64, 77 в г. Челябинске 
</t>
  </si>
  <si>
    <t>на земельных участках 74:36:0203039:387; 74:36:0203013:24; 74:36:0203013:1</t>
  </si>
  <si>
    <t xml:space="preserve">      </t>
  </si>
  <si>
    <t>Письмо Минстроя России от 04.05.2021 N 18410-ИФ/09</t>
  </si>
  <si>
    <t>семьдесят тысяч семьсот сорок четыре рубля 00 копеек</t>
  </si>
  <si>
    <t>Газопровод низкого давления от точки подключения до границы земельного участка по адресу: г. Челябинск, Ленинский район, ул. Грозненская, 64. Технологическое присоединение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</si>
</sst>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0.000"/>
    <numFmt numFmtId="165" formatCode="_-* #,##0.0\ _₽_-;\-* #,##0.0\ _₽_-;_-* &quot;-&quot;??\ _₽_-;_-@_-"/>
    <numFmt numFmtId="166" formatCode="d\ mmmm\,\ yyyy"/>
    <numFmt numFmtId="167" formatCode="_-* #,##0.00[$р.-419]_-;\-* #,##0.00[$р.-419]_-;_-* &quot;-&quot;??[$р.-419]_-;_-@_-"/>
    <numFmt numFmtId="168" formatCode="_-* #,##0\ _₽_-;\-* #,##0\ _₽_-;_-* &quot;-&quot;??\ _₽_-;_-@_-"/>
    <numFmt numFmtId="169" formatCode="_-* #,##0.00_р_._-;\-* #,##0.00_р_._-;_-* \-??_р_._-;_-@_-"/>
    <numFmt numFmtId="170" formatCode="_-* #,##0.000_р_._-;\-* #,##0.000_р_._-;_-* \-??_р_._-;_-@_-"/>
    <numFmt numFmtId="171" formatCode="_-* #,##0.000\ _₽_-;\-* #,##0.000\ _₽_-;_-* &quot;-&quot;???\ _₽_-;_-@_-"/>
  </numFmts>
  <fonts count="43">
    <font>
      <sz val="10"/>
      <name val="Arial"/>
    </font>
    <font>
      <sz val="9"/>
      <name val="Arial Unicode MS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Unicode MS"/>
      <family val="2"/>
      <charset val="204"/>
    </font>
    <font>
      <sz val="7"/>
      <name val="Arial"/>
      <family val="2"/>
      <charset val="204"/>
    </font>
    <font>
      <sz val="10"/>
      <name val="Arial Cyr"/>
      <charset val="204"/>
    </font>
    <font>
      <b/>
      <sz val="28"/>
      <color indexed="13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</font>
    <font>
      <sz val="8"/>
      <color indexed="17"/>
      <name val="Arial Cyr"/>
      <family val="2"/>
      <charset val="204"/>
    </font>
    <font>
      <sz val="10"/>
      <name val="Times New Roman"/>
      <family val="1"/>
    </font>
    <font>
      <b/>
      <sz val="12"/>
      <color indexed="14"/>
      <name val="Arial Cyr"/>
      <family val="2"/>
      <charset val="204"/>
    </font>
    <font>
      <b/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sz val="8"/>
      <color indexed="17"/>
      <name val="Arial Cyr"/>
      <charset val="204"/>
    </font>
    <font>
      <sz val="12"/>
      <color indexed="10"/>
      <name val="Arial Cyr"/>
      <family val="2"/>
      <charset val="204"/>
    </font>
    <font>
      <sz val="10"/>
      <color indexed="15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color indexed="10"/>
      <name val="Arial Cyr"/>
      <family val="2"/>
      <charset val="204"/>
    </font>
    <font>
      <sz val="8"/>
      <color indexed="10"/>
      <name val="Arial Cyr"/>
      <family val="2"/>
      <charset val="204"/>
    </font>
    <font>
      <sz val="9"/>
      <color indexed="12"/>
      <name val="Arial Cyr"/>
      <family val="2"/>
      <charset val="204"/>
    </font>
    <font>
      <sz val="9"/>
      <color indexed="10"/>
      <name val="Arial Cyr"/>
      <family val="2"/>
      <charset val="204"/>
    </font>
    <font>
      <sz val="10"/>
      <color indexed="14"/>
      <name val="Arial Cyr"/>
      <family val="2"/>
      <charset val="204"/>
    </font>
    <font>
      <sz val="8"/>
      <color indexed="12"/>
      <name val="Arial Cyr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0"/>
      <name val="Arial"/>
      <family val="2"/>
      <charset val="204"/>
    </font>
    <font>
      <b/>
      <sz val="10"/>
      <name val="Arial Unicode MS"/>
      <family val="2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8"/>
      <name val="Times New Roman CYR"/>
      <family val="1"/>
      <charset val="204"/>
    </font>
    <font>
      <b/>
      <sz val="10"/>
      <name val="Times New Roman CYR"/>
      <charset val="204"/>
    </font>
    <font>
      <sz val="11"/>
      <name val="Times New Roman CYR"/>
      <family val="1"/>
      <charset val="204"/>
    </font>
    <font>
      <sz val="11"/>
      <name val="Calibri"/>
      <family val="2"/>
      <charset val="204"/>
    </font>
    <font>
      <sz val="8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2"/>
    <xf numFmtId="0" fontId="28" fillId="0" borderId="2" applyNumberFormat="0" applyFill="0" applyBorder="0" applyAlignment="0" applyProtection="0">
      <alignment vertical="top"/>
      <protection locked="0"/>
    </xf>
    <xf numFmtId="0" fontId="9" fillId="0" borderId="2"/>
    <xf numFmtId="169" fontId="9" fillId="0" borderId="2" applyFill="0" applyBorder="0" applyAlignment="0" applyProtection="0"/>
  </cellStyleXfs>
  <cellXfs count="239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0" fillId="0" borderId="0" xfId="0" applyNumberFormat="1"/>
    <xf numFmtId="0" fontId="7" fillId="0" borderId="1" xfId="0" applyFont="1" applyBorder="1" applyAlignment="1">
      <alignment vertical="top"/>
    </xf>
    <xf numFmtId="0" fontId="0" fillId="0" borderId="0" xfId="0" applyAlignment="1"/>
    <xf numFmtId="0" fontId="6" fillId="0" borderId="0" xfId="0" applyFont="1" applyFill="1"/>
    <xf numFmtId="0" fontId="8" fillId="0" borderId="0" xfId="0" applyFont="1" applyAlignment="1">
      <alignment horizontal="left"/>
    </xf>
    <xf numFmtId="0" fontId="9" fillId="0" borderId="2" xfId="2" applyNumberFormat="1"/>
    <xf numFmtId="0" fontId="9" fillId="0" borderId="2" xfId="2" applyNumberFormat="1" applyBorder="1"/>
    <xf numFmtId="4" fontId="11" fillId="3" borderId="2" xfId="2" applyNumberFormat="1" applyFont="1" applyFill="1" applyBorder="1" applyAlignment="1">
      <alignment horizontal="right"/>
    </xf>
    <xf numFmtId="2" fontId="12" fillId="3" borderId="2" xfId="2" applyNumberFormat="1" applyFont="1" applyFill="1"/>
    <xf numFmtId="0" fontId="9" fillId="0" borderId="2" xfId="2" applyNumberFormat="1" applyAlignment="1">
      <alignment horizontal="left"/>
    </xf>
    <xf numFmtId="0" fontId="13" fillId="0" borderId="2" xfId="2" applyNumberFormat="1" applyFont="1"/>
    <xf numFmtId="0" fontId="12" fillId="0" borderId="2" xfId="2" applyNumberFormat="1" applyFont="1"/>
    <xf numFmtId="4" fontId="11" fillId="0" borderId="2" xfId="2" applyNumberFormat="1" applyFont="1" applyAlignment="1">
      <alignment horizontal="right"/>
    </xf>
    <xf numFmtId="0" fontId="14" fillId="0" borderId="2" xfId="2" applyFont="1"/>
    <xf numFmtId="0" fontId="9" fillId="0" borderId="2" xfId="2"/>
    <xf numFmtId="0" fontId="9" fillId="0" borderId="2" xfId="2" applyAlignment="1">
      <alignment horizontal="right"/>
    </xf>
    <xf numFmtId="0" fontId="9" fillId="0" borderId="2" xfId="2" applyAlignment="1">
      <alignment horizontal="center"/>
    </xf>
    <xf numFmtId="0" fontId="9" fillId="0" borderId="2" xfId="2" applyAlignment="1">
      <alignment horizontal="left"/>
    </xf>
    <xf numFmtId="0" fontId="14" fillId="0" borderId="2" xfId="2" applyFont="1" applyProtection="1">
      <protection hidden="1"/>
    </xf>
    <xf numFmtId="0" fontId="16" fillId="0" borderId="2" xfId="2" applyNumberFormat="1" applyFont="1"/>
    <xf numFmtId="166" fontId="17" fillId="0" borderId="2" xfId="2" applyNumberFormat="1" applyFont="1" applyBorder="1" applyAlignment="1">
      <alignment horizontal="left"/>
    </xf>
    <xf numFmtId="0" fontId="18" fillId="0" borderId="2" xfId="2" applyNumberFormat="1" applyFont="1"/>
    <xf numFmtId="0" fontId="9" fillId="0" borderId="2" xfId="2" applyNumberFormat="1" applyAlignment="1">
      <alignment horizontal="right"/>
    </xf>
    <xf numFmtId="0" fontId="16" fillId="0" borderId="2" xfId="2" applyNumberFormat="1" applyFont="1" applyAlignment="1">
      <alignment horizontal="right"/>
    </xf>
    <xf numFmtId="0" fontId="20" fillId="0" borderId="2" xfId="2" applyNumberFormat="1" applyFont="1"/>
    <xf numFmtId="0" fontId="16" fillId="0" borderId="2" xfId="2" applyNumberFormat="1" applyFont="1" applyAlignment="1">
      <alignment horizontal="center"/>
    </xf>
    <xf numFmtId="0" fontId="21" fillId="0" borderId="2" xfId="2" applyNumberFormat="1" applyFont="1"/>
    <xf numFmtId="0" fontId="22" fillId="0" borderId="2" xfId="2" applyNumberFormat="1" applyFont="1"/>
    <xf numFmtId="167" fontId="9" fillId="0" borderId="2" xfId="2" applyNumberFormat="1"/>
    <xf numFmtId="2" fontId="9" fillId="0" borderId="2" xfId="2" applyNumberFormat="1" applyAlignment="1">
      <alignment horizontal="right"/>
    </xf>
    <xf numFmtId="22" fontId="9" fillId="0" borderId="2" xfId="2" applyNumberFormat="1"/>
    <xf numFmtId="0" fontId="22" fillId="0" borderId="2" xfId="2" applyNumberFormat="1" applyFont="1" applyAlignment="1">
      <alignment horizontal="right"/>
    </xf>
    <xf numFmtId="0" fontId="23" fillId="0" borderId="2" xfId="2" applyNumberFormat="1" applyFont="1" applyAlignment="1">
      <alignment shrinkToFit="1"/>
    </xf>
    <xf numFmtId="0" fontId="22" fillId="0" borderId="2" xfId="2" applyNumberFormat="1" applyFont="1" applyAlignment="1">
      <alignment horizontal="left"/>
    </xf>
    <xf numFmtId="14" fontId="22" fillId="0" borderId="2" xfId="2" applyNumberFormat="1" applyFont="1"/>
    <xf numFmtId="0" fontId="17" fillId="0" borderId="2" xfId="2" applyNumberFormat="1" applyFont="1"/>
    <xf numFmtId="4" fontId="17" fillId="0" borderId="2" xfId="2" applyNumberFormat="1" applyFont="1" applyAlignment="1">
      <alignment horizontal="right"/>
    </xf>
    <xf numFmtId="22" fontId="22" fillId="0" borderId="2" xfId="2" applyNumberFormat="1" applyFont="1"/>
    <xf numFmtId="4" fontId="22" fillId="0" borderId="2" xfId="2" applyNumberFormat="1" applyFont="1" applyAlignment="1">
      <alignment horizontal="left"/>
    </xf>
    <xf numFmtId="0" fontId="24" fillId="0" borderId="2" xfId="2" applyNumberFormat="1" applyFont="1"/>
    <xf numFmtId="0" fontId="24" fillId="0" borderId="2" xfId="2" applyNumberFormat="1" applyFont="1" applyAlignment="1">
      <alignment shrinkToFit="1"/>
    </xf>
    <xf numFmtId="0" fontId="25" fillId="0" borderId="2" xfId="2" applyNumberFormat="1" applyFont="1" applyAlignment="1">
      <alignment shrinkToFit="1"/>
    </xf>
    <xf numFmtId="3" fontId="22" fillId="0" borderId="2" xfId="2" applyNumberFormat="1" applyFont="1"/>
    <xf numFmtId="0" fontId="17" fillId="0" borderId="2" xfId="2" applyNumberFormat="1" applyFont="1" applyAlignment="1">
      <alignment horizontal="right"/>
    </xf>
    <xf numFmtId="1" fontId="22" fillId="0" borderId="2" xfId="2" applyNumberFormat="1" applyFont="1" applyAlignment="1">
      <alignment horizontal="right"/>
    </xf>
    <xf numFmtId="0" fontId="26" fillId="0" borderId="2" xfId="2" applyNumberFormat="1" applyFont="1"/>
    <xf numFmtId="0" fontId="26" fillId="0" borderId="2" xfId="2" applyNumberFormat="1" applyFont="1" applyBorder="1"/>
    <xf numFmtId="0" fontId="28" fillId="0" borderId="2" xfId="3" applyNumberFormat="1" applyAlignment="1" applyProtection="1"/>
    <xf numFmtId="0" fontId="0" fillId="0" borderId="0" xfId="0" quotePrefix="1" applyNumberFormat="1"/>
    <xf numFmtId="0" fontId="31" fillId="0" borderId="2" xfId="0" applyFont="1" applyBorder="1" applyAlignment="1">
      <alignment horizontal="left"/>
    </xf>
    <xf numFmtId="0" fontId="31" fillId="0" borderId="2" xfId="0" applyFont="1" applyBorder="1" applyAlignment="1"/>
    <xf numFmtId="0" fontId="0" fillId="0" borderId="2" xfId="0" applyBorder="1" applyAlignment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64" fontId="3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right"/>
    </xf>
    <xf numFmtId="165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top" indent="2"/>
    </xf>
    <xf numFmtId="164" fontId="5" fillId="0" borderId="3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center" vertical="top"/>
    </xf>
    <xf numFmtId="168" fontId="3" fillId="0" borderId="3" xfId="1" applyNumberFormat="1" applyFont="1" applyBorder="1" applyAlignment="1">
      <alignment horizontal="right" wrapText="1"/>
    </xf>
    <xf numFmtId="1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64" fontId="3" fillId="0" borderId="5" xfId="1" applyNumberFormat="1" applyFont="1" applyBorder="1" applyAlignment="1">
      <alignment horizontal="right"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164" fontId="3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43" fontId="3" fillId="0" borderId="5" xfId="1" applyFont="1" applyBorder="1" applyAlignment="1">
      <alignment horizontal="center" wrapText="1"/>
    </xf>
    <xf numFmtId="43" fontId="3" fillId="0" borderId="6" xfId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0" fontId="31" fillId="0" borderId="0" xfId="0" applyFont="1"/>
    <xf numFmtId="43" fontId="3" fillId="0" borderId="3" xfId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right" vertical="top"/>
    </xf>
    <xf numFmtId="0" fontId="33" fillId="0" borderId="2" xfId="4" applyFont="1"/>
    <xf numFmtId="0" fontId="34" fillId="0" borderId="2" xfId="4" applyFont="1"/>
    <xf numFmtId="0" fontId="33" fillId="0" borderId="2" xfId="4" applyFont="1" applyBorder="1"/>
    <xf numFmtId="0" fontId="33" fillId="0" borderId="9" xfId="4" applyFont="1" applyBorder="1"/>
    <xf numFmtId="0" fontId="35" fillId="0" borderId="2" xfId="4" applyFont="1" applyAlignment="1">
      <alignment horizontal="center" wrapText="1"/>
    </xf>
    <xf numFmtId="169" fontId="35" fillId="0" borderId="2" xfId="5" applyFont="1" applyFill="1" applyBorder="1" applyAlignment="1" applyProtection="1">
      <alignment horizontal="center" wrapText="1"/>
    </xf>
    <xf numFmtId="169" fontId="35" fillId="0" borderId="2" xfId="4" applyNumberFormat="1" applyFont="1" applyAlignment="1">
      <alignment horizontal="center" wrapText="1"/>
    </xf>
    <xf numFmtId="170" fontId="33" fillId="0" borderId="2" xfId="4" applyNumberFormat="1" applyFont="1"/>
    <xf numFmtId="169" fontId="33" fillId="0" borderId="2" xfId="4" applyNumberFormat="1" applyFont="1"/>
    <xf numFmtId="0" fontId="33" fillId="0" borderId="2" xfId="4" applyFont="1" applyBorder="1" applyAlignment="1">
      <alignment vertical="top"/>
    </xf>
    <xf numFmtId="171" fontId="33" fillId="0" borderId="2" xfId="4" applyNumberFormat="1" applyFont="1"/>
    <xf numFmtId="0" fontId="37" fillId="0" borderId="2" xfId="4" applyFont="1"/>
    <xf numFmtId="0" fontId="39" fillId="6" borderId="18" xfId="0" applyFont="1" applyFill="1" applyBorder="1" applyAlignment="1">
      <alignment horizontal="center" vertical="center" wrapText="1"/>
    </xf>
    <xf numFmtId="0" fontId="39" fillId="6" borderId="19" xfId="0" applyFont="1" applyFill="1" applyBorder="1" applyAlignment="1">
      <alignment horizontal="center" vertical="center" wrapText="1"/>
    </xf>
    <xf numFmtId="0" fontId="39" fillId="6" borderId="20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 vertical="center" wrapText="1"/>
    </xf>
    <xf numFmtId="0" fontId="39" fillId="6" borderId="0" xfId="0" applyFont="1" applyFill="1" applyAlignment="1">
      <alignment vertical="center" wrapText="1"/>
    </xf>
    <xf numFmtId="0" fontId="39" fillId="6" borderId="26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 wrapText="1"/>
    </xf>
    <xf numFmtId="3" fontId="41" fillId="6" borderId="26" xfId="0" applyNumberFormat="1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0" fontId="42" fillId="0" borderId="0" xfId="0" applyFont="1"/>
    <xf numFmtId="0" fontId="1" fillId="0" borderId="2" xfId="0" applyFont="1" applyBorder="1" applyAlignment="1">
      <alignment vertical="top"/>
    </xf>
    <xf numFmtId="0" fontId="2" fillId="0" borderId="0" xfId="0" applyFont="1" applyAlignment="1"/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16" fontId="40" fillId="0" borderId="37" xfId="0" applyNumberFormat="1" applyFont="1" applyBorder="1" applyAlignment="1">
      <alignment horizontal="center" vertical="center" wrapText="1"/>
    </xf>
    <xf numFmtId="16" fontId="40" fillId="0" borderId="39" xfId="0" applyNumberFormat="1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17" fontId="38" fillId="0" borderId="39" xfId="0" applyNumberFormat="1" applyFont="1" applyBorder="1" applyAlignment="1">
      <alignment horizontal="center" vertical="center" wrapText="1"/>
    </xf>
    <xf numFmtId="17" fontId="40" fillId="0" borderId="39" xfId="0" applyNumberFormat="1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3" fontId="38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0" fillId="0" borderId="3" xfId="0" applyNumberFormat="1" applyBorder="1"/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166" fontId="17" fillId="0" borderId="2" xfId="2" applyNumberFormat="1" applyFont="1" applyBorder="1" applyAlignment="1">
      <alignment horizontal="left"/>
    </xf>
    <xf numFmtId="0" fontId="34" fillId="0" borderId="10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vertical="top"/>
    </xf>
    <xf numFmtId="0" fontId="33" fillId="0" borderId="5" xfId="0" applyFont="1" applyBorder="1" applyAlignment="1">
      <alignment vertical="top"/>
    </xf>
    <xf numFmtId="0" fontId="33" fillId="0" borderId="14" xfId="0" applyFont="1" applyBorder="1" applyAlignment="1">
      <alignment vertical="top" wrapText="1"/>
    </xf>
    <xf numFmtId="164" fontId="33" fillId="0" borderId="14" xfId="0" applyNumberFormat="1" applyFont="1" applyBorder="1" applyAlignment="1">
      <alignment vertical="top" wrapText="1"/>
    </xf>
    <xf numFmtId="0" fontId="33" fillId="0" borderId="15" xfId="0" applyFont="1" applyBorder="1" applyAlignment="1">
      <alignment vertical="top"/>
    </xf>
    <xf numFmtId="0" fontId="33" fillId="0" borderId="2" xfId="0" applyFont="1" applyBorder="1" applyAlignment="1">
      <alignment vertical="top"/>
    </xf>
    <xf numFmtId="0" fontId="33" fillId="0" borderId="15" xfId="0" applyFont="1" applyBorder="1" applyAlignment="1">
      <alignment vertical="top" wrapText="1"/>
    </xf>
    <xf numFmtId="0" fontId="33" fillId="0" borderId="16" xfId="0" applyFont="1" applyBorder="1" applyAlignment="1">
      <alignment vertical="top"/>
    </xf>
    <xf numFmtId="0" fontId="33" fillId="0" borderId="16" xfId="0" applyFont="1" applyBorder="1" applyAlignment="1">
      <alignment vertical="top" wrapText="1"/>
    </xf>
    <xf numFmtId="164" fontId="33" fillId="0" borderId="16" xfId="0" applyNumberFormat="1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6" fillId="0" borderId="4" xfId="0" applyFont="1" applyBorder="1" applyAlignment="1">
      <alignment vertical="top"/>
    </xf>
    <xf numFmtId="164" fontId="36" fillId="0" borderId="4" xfId="0" applyNumberFormat="1" applyFont="1" applyBorder="1" applyAlignment="1">
      <alignment vertical="top"/>
    </xf>
    <xf numFmtId="1" fontId="39" fillId="6" borderId="26" xfId="0" applyNumberFormat="1" applyFont="1" applyFill="1" applyBorder="1" applyAlignment="1">
      <alignment horizontal="center" vertical="center" wrapText="1"/>
    </xf>
    <xf numFmtId="1" fontId="41" fillId="6" borderId="26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1" fillId="0" borderId="1" xfId="0" applyFont="1" applyBorder="1" applyAlignment="1">
      <alignment vertical="top"/>
    </xf>
    <xf numFmtId="0" fontId="34" fillId="0" borderId="10" xfId="0" applyFont="1" applyBorder="1" applyAlignment="1">
      <alignment horizontal="left" vertical="top" wrapText="1"/>
    </xf>
    <xf numFmtId="0" fontId="33" fillId="0" borderId="17" xfId="0" applyFont="1" applyBorder="1" applyAlignment="1">
      <alignment horizontal="left" vertical="top"/>
    </xf>
    <xf numFmtId="0" fontId="33" fillId="0" borderId="2" xfId="4" applyFont="1" applyAlignment="1">
      <alignment horizontal="center"/>
    </xf>
    <xf numFmtId="49" fontId="33" fillId="0" borderId="2" xfId="4" applyNumberFormat="1" applyFont="1" applyAlignment="1">
      <alignment horizontal="right" wrapText="1"/>
    </xf>
    <xf numFmtId="0" fontId="31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/>
    </xf>
    <xf numFmtId="0" fontId="39" fillId="6" borderId="29" xfId="0" applyFont="1" applyFill="1" applyBorder="1" applyAlignment="1">
      <alignment horizontal="center" vertical="center" wrapText="1"/>
    </xf>
    <xf numFmtId="0" fontId="39" fillId="6" borderId="22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29" xfId="0" applyFont="1" applyFill="1" applyBorder="1" applyAlignment="1">
      <alignment vertical="center" wrapText="1"/>
    </xf>
    <xf numFmtId="0" fontId="39" fillId="6" borderId="22" xfId="0" applyFont="1" applyFill="1" applyBorder="1" applyAlignment="1">
      <alignment vertical="center" wrapText="1"/>
    </xf>
    <xf numFmtId="0" fontId="39" fillId="6" borderId="24" xfId="0" applyFont="1" applyFill="1" applyBorder="1" applyAlignment="1">
      <alignment vertical="center" wrapText="1"/>
    </xf>
    <xf numFmtId="3" fontId="39" fillId="6" borderId="29" xfId="0" applyNumberFormat="1" applyFont="1" applyFill="1" applyBorder="1" applyAlignment="1">
      <alignment horizontal="center" vertical="center" wrapText="1"/>
    </xf>
    <xf numFmtId="3" fontId="39" fillId="6" borderId="22" xfId="0" applyNumberFormat="1" applyFont="1" applyFill="1" applyBorder="1" applyAlignment="1">
      <alignment horizontal="center" vertical="center" wrapText="1"/>
    </xf>
    <xf numFmtId="3" fontId="39" fillId="6" borderId="24" xfId="0" applyNumberFormat="1" applyFont="1" applyFill="1" applyBorder="1" applyAlignment="1">
      <alignment horizontal="center" vertical="center" wrapText="1"/>
    </xf>
    <xf numFmtId="1" fontId="39" fillId="6" borderId="29" xfId="0" applyNumberFormat="1" applyFont="1" applyFill="1" applyBorder="1" applyAlignment="1">
      <alignment horizontal="center" vertical="center" wrapText="1"/>
    </xf>
    <xf numFmtId="1" fontId="39" fillId="6" borderId="22" xfId="0" applyNumberFormat="1" applyFont="1" applyFill="1" applyBorder="1" applyAlignment="1">
      <alignment horizontal="center" vertical="center" wrapText="1"/>
    </xf>
    <xf numFmtId="0" fontId="39" fillId="6" borderId="33" xfId="0" applyFont="1" applyFill="1" applyBorder="1" applyAlignment="1">
      <alignment vertical="center" wrapText="1"/>
    </xf>
    <xf numFmtId="0" fontId="39" fillId="6" borderId="34" xfId="0" applyFont="1" applyFill="1" applyBorder="1" applyAlignment="1">
      <alignment vertical="center" wrapText="1"/>
    </xf>
    <xf numFmtId="0" fontId="39" fillId="6" borderId="35" xfId="0" applyFont="1" applyFill="1" applyBorder="1" applyAlignment="1">
      <alignment vertical="center" wrapText="1"/>
    </xf>
    <xf numFmtId="0" fontId="39" fillId="6" borderId="28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3" xfId="0" applyFont="1" applyFill="1" applyBorder="1" applyAlignment="1">
      <alignment vertical="center" wrapText="1"/>
    </xf>
    <xf numFmtId="0" fontId="39" fillId="6" borderId="27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1" fontId="39" fillId="6" borderId="24" xfId="0" applyNumberFormat="1" applyFont="1" applyFill="1" applyBorder="1" applyAlignment="1">
      <alignment horizontal="center" vertical="center" wrapText="1"/>
    </xf>
    <xf numFmtId="0" fontId="39" fillId="6" borderId="30" xfId="0" applyFont="1" applyFill="1" applyBorder="1" applyAlignment="1">
      <alignment horizontal="right" vertical="center" wrapText="1"/>
    </xf>
    <xf numFmtId="0" fontId="39" fillId="6" borderId="31" xfId="0" applyFont="1" applyFill="1" applyBorder="1" applyAlignment="1">
      <alignment horizontal="right" vertical="center" wrapText="1"/>
    </xf>
    <xf numFmtId="0" fontId="39" fillId="6" borderId="32" xfId="0" applyFont="1" applyFill="1" applyBorder="1" applyAlignment="1">
      <alignment horizontal="right" vertical="center" wrapText="1"/>
    </xf>
    <xf numFmtId="0" fontId="39" fillId="6" borderId="30" xfId="0" applyFont="1" applyFill="1" applyBorder="1" applyAlignment="1">
      <alignment vertical="center" wrapText="1"/>
    </xf>
    <xf numFmtId="0" fontId="39" fillId="6" borderId="32" xfId="0" applyFont="1" applyFill="1" applyBorder="1" applyAlignment="1">
      <alignment vertical="center" wrapText="1"/>
    </xf>
    <xf numFmtId="0" fontId="39" fillId="6" borderId="30" xfId="0" applyFont="1" applyFill="1" applyBorder="1" applyAlignment="1">
      <alignment horizontal="center" vertical="center" wrapText="1"/>
    </xf>
    <xf numFmtId="0" fontId="39" fillId="6" borderId="32" xfId="0" applyFont="1" applyFill="1" applyBorder="1" applyAlignment="1">
      <alignment horizontal="center" vertical="center" wrapText="1"/>
    </xf>
    <xf numFmtId="0" fontId="0" fillId="6" borderId="28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6" borderId="23" xfId="0" applyFill="1" applyBorder="1" applyAlignment="1">
      <alignment vertical="top" wrapText="1"/>
    </xf>
    <xf numFmtId="0" fontId="0" fillId="6" borderId="27" xfId="0" applyFill="1" applyBorder="1" applyAlignment="1">
      <alignment vertical="top" wrapText="1"/>
    </xf>
    <xf numFmtId="0" fontId="0" fillId="6" borderId="25" xfId="0" applyFill="1" applyBorder="1" applyAlignment="1">
      <alignment vertical="top" wrapText="1"/>
    </xf>
    <xf numFmtId="0" fontId="0" fillId="6" borderId="26" xfId="0" applyFill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41" xfId="0" applyFont="1" applyBorder="1" applyAlignment="1">
      <alignment vertical="center" wrapText="1"/>
    </xf>
    <xf numFmtId="0" fontId="38" fillId="0" borderId="40" xfId="0" applyFont="1" applyBorder="1" applyAlignment="1">
      <alignment vertical="center" wrapText="1"/>
    </xf>
    <xf numFmtId="0" fontId="38" fillId="0" borderId="38" xfId="0" applyFont="1" applyBorder="1" applyAlignment="1">
      <alignment vertical="center" wrapText="1"/>
    </xf>
    <xf numFmtId="0" fontId="40" fillId="0" borderId="41" xfId="0" applyFont="1" applyBorder="1" applyAlignment="1">
      <alignment vertical="center" wrapText="1"/>
    </xf>
    <xf numFmtId="0" fontId="40" fillId="0" borderId="38" xfId="0" applyFont="1" applyBorder="1" applyAlignment="1">
      <alignment vertical="center" wrapText="1"/>
    </xf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0" fontId="10" fillId="2" borderId="2" xfId="2" applyNumberFormat="1" applyFont="1" applyFill="1" applyAlignment="1">
      <alignment horizontal="center" vertical="center" wrapText="1"/>
    </xf>
    <xf numFmtId="14" fontId="15" fillId="4" borderId="2" xfId="2" applyNumberFormat="1" applyFont="1" applyFill="1" applyAlignment="1">
      <alignment horizontal="center"/>
    </xf>
    <xf numFmtId="166" fontId="17" fillId="0" borderId="2" xfId="2" applyNumberFormat="1" applyFont="1" applyBorder="1" applyAlignment="1">
      <alignment horizontal="left"/>
    </xf>
    <xf numFmtId="0" fontId="19" fillId="5" borderId="2" xfId="2" applyNumberFormat="1" applyFont="1" applyFill="1" applyAlignment="1">
      <alignment horizontal="center" vertical="center" wrapText="1"/>
    </xf>
    <xf numFmtId="0" fontId="27" fillId="3" borderId="2" xfId="2" applyNumberFormat="1" applyFont="1" applyFill="1" applyAlignment="1">
      <alignment horizontal="right" vertical="center" wrapText="1"/>
    </xf>
  </cellXfs>
  <cellStyles count="6">
    <cellStyle name="Гиперссылка_Сч-фактура" xfId="3"/>
    <cellStyle name="Обычный" xfId="0" builtinId="0"/>
    <cellStyle name="Обычный 2" xfId="4"/>
    <cellStyle name="Обычный_Сч-фактура" xfId="2"/>
    <cellStyle name="Финансовый" xfId="1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A37" sqref="A37"/>
    </sheetView>
  </sheetViews>
  <sheetFormatPr defaultRowHeight="12.75"/>
  <cols>
    <col min="1" max="1" width="37.42578125" customWidth="1"/>
    <col min="2" max="2" width="21.42578125" customWidth="1"/>
  </cols>
  <sheetData>
    <row r="3" spans="1:2">
      <c r="A3" s="142" t="s">
        <v>238</v>
      </c>
      <c r="B3" s="142" t="s">
        <v>243</v>
      </c>
    </row>
    <row r="4" spans="1:2">
      <c r="A4" s="143" t="s">
        <v>239</v>
      </c>
      <c r="B4" s="144">
        <f>'смета ПРОЕКТ'!D15*1000</f>
        <v>31505.159952000002</v>
      </c>
    </row>
    <row r="5" spans="1:2">
      <c r="A5" s="143" t="s">
        <v>240</v>
      </c>
      <c r="B5" s="144">
        <f>'смета ГЕОДЕЗИЯ'!F43</f>
        <v>104471.73976499998</v>
      </c>
    </row>
    <row r="6" spans="1:2">
      <c r="A6" s="143" t="s">
        <v>241</v>
      </c>
      <c r="B6" s="144">
        <f>'смета ГЕОЛОГИЯ'!G34</f>
        <v>70743.721999999994</v>
      </c>
    </row>
    <row r="7" spans="1:2">
      <c r="A7" s="143" t="s">
        <v>242</v>
      </c>
      <c r="B7" s="144">
        <f>'смета СХЕМА'!E39</f>
        <v>4043</v>
      </c>
    </row>
    <row r="8" spans="1:2">
      <c r="A8" s="143" t="s">
        <v>244</v>
      </c>
      <c r="B8" s="144">
        <f>SUM(B4:B7)</f>
        <v>210763.62171699997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view="pageBreakPreview" zoomScaleSheetLayoutView="100" workbookViewId="0">
      <selection activeCell="E15" sqref="E15"/>
    </sheetView>
  </sheetViews>
  <sheetFormatPr defaultColWidth="9.140625" defaultRowHeight="12.75"/>
  <cols>
    <col min="1" max="1" width="9.5703125" style="103" customWidth="1"/>
    <col min="2" max="2" width="52.85546875" style="103" customWidth="1"/>
    <col min="3" max="3" width="9.5703125" style="103" customWidth="1"/>
    <col min="4" max="4" width="16.85546875" style="103" customWidth="1"/>
    <col min="5" max="5" width="25.5703125" style="103" customWidth="1"/>
    <col min="6" max="6" width="19.42578125" style="103" customWidth="1"/>
    <col min="7" max="7" width="12.5703125" style="103" customWidth="1"/>
    <col min="8" max="256" width="9.140625" style="103"/>
    <col min="257" max="257" width="9.5703125" style="103" customWidth="1"/>
    <col min="258" max="258" width="52.85546875" style="103" customWidth="1"/>
    <col min="259" max="259" width="9.5703125" style="103" customWidth="1"/>
    <col min="260" max="260" width="15" style="103" customWidth="1"/>
    <col min="261" max="261" width="25.5703125" style="103" customWidth="1"/>
    <col min="262" max="262" width="19.42578125" style="103" customWidth="1"/>
    <col min="263" max="263" width="12.5703125" style="103" customWidth="1"/>
    <col min="264" max="512" width="9.140625" style="103"/>
    <col min="513" max="513" width="9.5703125" style="103" customWidth="1"/>
    <col min="514" max="514" width="52.85546875" style="103" customWidth="1"/>
    <col min="515" max="515" width="9.5703125" style="103" customWidth="1"/>
    <col min="516" max="516" width="15" style="103" customWidth="1"/>
    <col min="517" max="517" width="25.5703125" style="103" customWidth="1"/>
    <col min="518" max="518" width="19.42578125" style="103" customWidth="1"/>
    <col min="519" max="519" width="12.5703125" style="103" customWidth="1"/>
    <col min="520" max="768" width="9.140625" style="103"/>
    <col min="769" max="769" width="9.5703125" style="103" customWidth="1"/>
    <col min="770" max="770" width="52.85546875" style="103" customWidth="1"/>
    <col min="771" max="771" width="9.5703125" style="103" customWidth="1"/>
    <col min="772" max="772" width="15" style="103" customWidth="1"/>
    <col min="773" max="773" width="25.5703125" style="103" customWidth="1"/>
    <col min="774" max="774" width="19.42578125" style="103" customWidth="1"/>
    <col min="775" max="775" width="12.5703125" style="103" customWidth="1"/>
    <col min="776" max="1024" width="9.140625" style="103"/>
    <col min="1025" max="1025" width="9.5703125" style="103" customWidth="1"/>
    <col min="1026" max="1026" width="52.85546875" style="103" customWidth="1"/>
    <col min="1027" max="1027" width="9.5703125" style="103" customWidth="1"/>
    <col min="1028" max="1028" width="15" style="103" customWidth="1"/>
    <col min="1029" max="1029" width="25.5703125" style="103" customWidth="1"/>
    <col min="1030" max="1030" width="19.42578125" style="103" customWidth="1"/>
    <col min="1031" max="1031" width="12.5703125" style="103" customWidth="1"/>
    <col min="1032" max="1280" width="9.140625" style="103"/>
    <col min="1281" max="1281" width="9.5703125" style="103" customWidth="1"/>
    <col min="1282" max="1282" width="52.85546875" style="103" customWidth="1"/>
    <col min="1283" max="1283" width="9.5703125" style="103" customWidth="1"/>
    <col min="1284" max="1284" width="15" style="103" customWidth="1"/>
    <col min="1285" max="1285" width="25.5703125" style="103" customWidth="1"/>
    <col min="1286" max="1286" width="19.42578125" style="103" customWidth="1"/>
    <col min="1287" max="1287" width="12.5703125" style="103" customWidth="1"/>
    <col min="1288" max="1536" width="9.140625" style="103"/>
    <col min="1537" max="1537" width="9.5703125" style="103" customWidth="1"/>
    <col min="1538" max="1538" width="52.85546875" style="103" customWidth="1"/>
    <col min="1539" max="1539" width="9.5703125" style="103" customWidth="1"/>
    <col min="1540" max="1540" width="15" style="103" customWidth="1"/>
    <col min="1541" max="1541" width="25.5703125" style="103" customWidth="1"/>
    <col min="1542" max="1542" width="19.42578125" style="103" customWidth="1"/>
    <col min="1543" max="1543" width="12.5703125" style="103" customWidth="1"/>
    <col min="1544" max="1792" width="9.140625" style="103"/>
    <col min="1793" max="1793" width="9.5703125" style="103" customWidth="1"/>
    <col min="1794" max="1794" width="52.85546875" style="103" customWidth="1"/>
    <col min="1795" max="1795" width="9.5703125" style="103" customWidth="1"/>
    <col min="1796" max="1796" width="15" style="103" customWidth="1"/>
    <col min="1797" max="1797" width="25.5703125" style="103" customWidth="1"/>
    <col min="1798" max="1798" width="19.42578125" style="103" customWidth="1"/>
    <col min="1799" max="1799" width="12.5703125" style="103" customWidth="1"/>
    <col min="1800" max="2048" width="9.140625" style="103"/>
    <col min="2049" max="2049" width="9.5703125" style="103" customWidth="1"/>
    <col min="2050" max="2050" width="52.85546875" style="103" customWidth="1"/>
    <col min="2051" max="2051" width="9.5703125" style="103" customWidth="1"/>
    <col min="2052" max="2052" width="15" style="103" customWidth="1"/>
    <col min="2053" max="2053" width="25.5703125" style="103" customWidth="1"/>
    <col min="2054" max="2054" width="19.42578125" style="103" customWidth="1"/>
    <col min="2055" max="2055" width="12.5703125" style="103" customWidth="1"/>
    <col min="2056" max="2304" width="9.140625" style="103"/>
    <col min="2305" max="2305" width="9.5703125" style="103" customWidth="1"/>
    <col min="2306" max="2306" width="52.85546875" style="103" customWidth="1"/>
    <col min="2307" max="2307" width="9.5703125" style="103" customWidth="1"/>
    <col min="2308" max="2308" width="15" style="103" customWidth="1"/>
    <col min="2309" max="2309" width="25.5703125" style="103" customWidth="1"/>
    <col min="2310" max="2310" width="19.42578125" style="103" customWidth="1"/>
    <col min="2311" max="2311" width="12.5703125" style="103" customWidth="1"/>
    <col min="2312" max="2560" width="9.140625" style="103"/>
    <col min="2561" max="2561" width="9.5703125" style="103" customWidth="1"/>
    <col min="2562" max="2562" width="52.85546875" style="103" customWidth="1"/>
    <col min="2563" max="2563" width="9.5703125" style="103" customWidth="1"/>
    <col min="2564" max="2564" width="15" style="103" customWidth="1"/>
    <col min="2565" max="2565" width="25.5703125" style="103" customWidth="1"/>
    <col min="2566" max="2566" width="19.42578125" style="103" customWidth="1"/>
    <col min="2567" max="2567" width="12.5703125" style="103" customWidth="1"/>
    <col min="2568" max="2816" width="9.140625" style="103"/>
    <col min="2817" max="2817" width="9.5703125" style="103" customWidth="1"/>
    <col min="2818" max="2818" width="52.85546875" style="103" customWidth="1"/>
    <col min="2819" max="2819" width="9.5703125" style="103" customWidth="1"/>
    <col min="2820" max="2820" width="15" style="103" customWidth="1"/>
    <col min="2821" max="2821" width="25.5703125" style="103" customWidth="1"/>
    <col min="2822" max="2822" width="19.42578125" style="103" customWidth="1"/>
    <col min="2823" max="2823" width="12.5703125" style="103" customWidth="1"/>
    <col min="2824" max="3072" width="9.140625" style="103"/>
    <col min="3073" max="3073" width="9.5703125" style="103" customWidth="1"/>
    <col min="3074" max="3074" width="52.85546875" style="103" customWidth="1"/>
    <col min="3075" max="3075" width="9.5703125" style="103" customWidth="1"/>
    <col min="3076" max="3076" width="15" style="103" customWidth="1"/>
    <col min="3077" max="3077" width="25.5703125" style="103" customWidth="1"/>
    <col min="3078" max="3078" width="19.42578125" style="103" customWidth="1"/>
    <col min="3079" max="3079" width="12.5703125" style="103" customWidth="1"/>
    <col min="3080" max="3328" width="9.140625" style="103"/>
    <col min="3329" max="3329" width="9.5703125" style="103" customWidth="1"/>
    <col min="3330" max="3330" width="52.85546875" style="103" customWidth="1"/>
    <col min="3331" max="3331" width="9.5703125" style="103" customWidth="1"/>
    <col min="3332" max="3332" width="15" style="103" customWidth="1"/>
    <col min="3333" max="3333" width="25.5703125" style="103" customWidth="1"/>
    <col min="3334" max="3334" width="19.42578125" style="103" customWidth="1"/>
    <col min="3335" max="3335" width="12.5703125" style="103" customWidth="1"/>
    <col min="3336" max="3584" width="9.140625" style="103"/>
    <col min="3585" max="3585" width="9.5703125" style="103" customWidth="1"/>
    <col min="3586" max="3586" width="52.85546875" style="103" customWidth="1"/>
    <col min="3587" max="3587" width="9.5703125" style="103" customWidth="1"/>
    <col min="3588" max="3588" width="15" style="103" customWidth="1"/>
    <col min="3589" max="3589" width="25.5703125" style="103" customWidth="1"/>
    <col min="3590" max="3590" width="19.42578125" style="103" customWidth="1"/>
    <col min="3591" max="3591" width="12.5703125" style="103" customWidth="1"/>
    <col min="3592" max="3840" width="9.140625" style="103"/>
    <col min="3841" max="3841" width="9.5703125" style="103" customWidth="1"/>
    <col min="3842" max="3842" width="52.85546875" style="103" customWidth="1"/>
    <col min="3843" max="3843" width="9.5703125" style="103" customWidth="1"/>
    <col min="3844" max="3844" width="15" style="103" customWidth="1"/>
    <col min="3845" max="3845" width="25.5703125" style="103" customWidth="1"/>
    <col min="3846" max="3846" width="19.42578125" style="103" customWidth="1"/>
    <col min="3847" max="3847" width="12.5703125" style="103" customWidth="1"/>
    <col min="3848" max="4096" width="9.140625" style="103"/>
    <col min="4097" max="4097" width="9.5703125" style="103" customWidth="1"/>
    <col min="4098" max="4098" width="52.85546875" style="103" customWidth="1"/>
    <col min="4099" max="4099" width="9.5703125" style="103" customWidth="1"/>
    <col min="4100" max="4100" width="15" style="103" customWidth="1"/>
    <col min="4101" max="4101" width="25.5703125" style="103" customWidth="1"/>
    <col min="4102" max="4102" width="19.42578125" style="103" customWidth="1"/>
    <col min="4103" max="4103" width="12.5703125" style="103" customWidth="1"/>
    <col min="4104" max="4352" width="9.140625" style="103"/>
    <col min="4353" max="4353" width="9.5703125" style="103" customWidth="1"/>
    <col min="4354" max="4354" width="52.85546875" style="103" customWidth="1"/>
    <col min="4355" max="4355" width="9.5703125" style="103" customWidth="1"/>
    <col min="4356" max="4356" width="15" style="103" customWidth="1"/>
    <col min="4357" max="4357" width="25.5703125" style="103" customWidth="1"/>
    <col min="4358" max="4358" width="19.42578125" style="103" customWidth="1"/>
    <col min="4359" max="4359" width="12.5703125" style="103" customWidth="1"/>
    <col min="4360" max="4608" width="9.140625" style="103"/>
    <col min="4609" max="4609" width="9.5703125" style="103" customWidth="1"/>
    <col min="4610" max="4610" width="52.85546875" style="103" customWidth="1"/>
    <col min="4611" max="4611" width="9.5703125" style="103" customWidth="1"/>
    <col min="4612" max="4612" width="15" style="103" customWidth="1"/>
    <col min="4613" max="4613" width="25.5703125" style="103" customWidth="1"/>
    <col min="4614" max="4614" width="19.42578125" style="103" customWidth="1"/>
    <col min="4615" max="4615" width="12.5703125" style="103" customWidth="1"/>
    <col min="4616" max="4864" width="9.140625" style="103"/>
    <col min="4865" max="4865" width="9.5703125" style="103" customWidth="1"/>
    <col min="4866" max="4866" width="52.85546875" style="103" customWidth="1"/>
    <col min="4867" max="4867" width="9.5703125" style="103" customWidth="1"/>
    <col min="4868" max="4868" width="15" style="103" customWidth="1"/>
    <col min="4869" max="4869" width="25.5703125" style="103" customWidth="1"/>
    <col min="4870" max="4870" width="19.42578125" style="103" customWidth="1"/>
    <col min="4871" max="4871" width="12.5703125" style="103" customWidth="1"/>
    <col min="4872" max="5120" width="9.140625" style="103"/>
    <col min="5121" max="5121" width="9.5703125" style="103" customWidth="1"/>
    <col min="5122" max="5122" width="52.85546875" style="103" customWidth="1"/>
    <col min="5123" max="5123" width="9.5703125" style="103" customWidth="1"/>
    <col min="5124" max="5124" width="15" style="103" customWidth="1"/>
    <col min="5125" max="5125" width="25.5703125" style="103" customWidth="1"/>
    <col min="5126" max="5126" width="19.42578125" style="103" customWidth="1"/>
    <col min="5127" max="5127" width="12.5703125" style="103" customWidth="1"/>
    <col min="5128" max="5376" width="9.140625" style="103"/>
    <col min="5377" max="5377" width="9.5703125" style="103" customWidth="1"/>
    <col min="5378" max="5378" width="52.85546875" style="103" customWidth="1"/>
    <col min="5379" max="5379" width="9.5703125" style="103" customWidth="1"/>
    <col min="5380" max="5380" width="15" style="103" customWidth="1"/>
    <col min="5381" max="5381" width="25.5703125" style="103" customWidth="1"/>
    <col min="5382" max="5382" width="19.42578125" style="103" customWidth="1"/>
    <col min="5383" max="5383" width="12.5703125" style="103" customWidth="1"/>
    <col min="5384" max="5632" width="9.140625" style="103"/>
    <col min="5633" max="5633" width="9.5703125" style="103" customWidth="1"/>
    <col min="5634" max="5634" width="52.85546875" style="103" customWidth="1"/>
    <col min="5635" max="5635" width="9.5703125" style="103" customWidth="1"/>
    <col min="5636" max="5636" width="15" style="103" customWidth="1"/>
    <col min="5637" max="5637" width="25.5703125" style="103" customWidth="1"/>
    <col min="5638" max="5638" width="19.42578125" style="103" customWidth="1"/>
    <col min="5639" max="5639" width="12.5703125" style="103" customWidth="1"/>
    <col min="5640" max="5888" width="9.140625" style="103"/>
    <col min="5889" max="5889" width="9.5703125" style="103" customWidth="1"/>
    <col min="5890" max="5890" width="52.85546875" style="103" customWidth="1"/>
    <col min="5891" max="5891" width="9.5703125" style="103" customWidth="1"/>
    <col min="5892" max="5892" width="15" style="103" customWidth="1"/>
    <col min="5893" max="5893" width="25.5703125" style="103" customWidth="1"/>
    <col min="5894" max="5894" width="19.42578125" style="103" customWidth="1"/>
    <col min="5895" max="5895" width="12.5703125" style="103" customWidth="1"/>
    <col min="5896" max="6144" width="9.140625" style="103"/>
    <col min="6145" max="6145" width="9.5703125" style="103" customWidth="1"/>
    <col min="6146" max="6146" width="52.85546875" style="103" customWidth="1"/>
    <col min="6147" max="6147" width="9.5703125" style="103" customWidth="1"/>
    <col min="6148" max="6148" width="15" style="103" customWidth="1"/>
    <col min="6149" max="6149" width="25.5703125" style="103" customWidth="1"/>
    <col min="6150" max="6150" width="19.42578125" style="103" customWidth="1"/>
    <col min="6151" max="6151" width="12.5703125" style="103" customWidth="1"/>
    <col min="6152" max="6400" width="9.140625" style="103"/>
    <col min="6401" max="6401" width="9.5703125" style="103" customWidth="1"/>
    <col min="6402" max="6402" width="52.85546875" style="103" customWidth="1"/>
    <col min="6403" max="6403" width="9.5703125" style="103" customWidth="1"/>
    <col min="6404" max="6404" width="15" style="103" customWidth="1"/>
    <col min="6405" max="6405" width="25.5703125" style="103" customWidth="1"/>
    <col min="6406" max="6406" width="19.42578125" style="103" customWidth="1"/>
    <col min="6407" max="6407" width="12.5703125" style="103" customWidth="1"/>
    <col min="6408" max="6656" width="9.140625" style="103"/>
    <col min="6657" max="6657" width="9.5703125" style="103" customWidth="1"/>
    <col min="6658" max="6658" width="52.85546875" style="103" customWidth="1"/>
    <col min="6659" max="6659" width="9.5703125" style="103" customWidth="1"/>
    <col min="6660" max="6660" width="15" style="103" customWidth="1"/>
    <col min="6661" max="6661" width="25.5703125" style="103" customWidth="1"/>
    <col min="6662" max="6662" width="19.42578125" style="103" customWidth="1"/>
    <col min="6663" max="6663" width="12.5703125" style="103" customWidth="1"/>
    <col min="6664" max="6912" width="9.140625" style="103"/>
    <col min="6913" max="6913" width="9.5703125" style="103" customWidth="1"/>
    <col min="6914" max="6914" width="52.85546875" style="103" customWidth="1"/>
    <col min="6915" max="6915" width="9.5703125" style="103" customWidth="1"/>
    <col min="6916" max="6916" width="15" style="103" customWidth="1"/>
    <col min="6917" max="6917" width="25.5703125" style="103" customWidth="1"/>
    <col min="6918" max="6918" width="19.42578125" style="103" customWidth="1"/>
    <col min="6919" max="6919" width="12.5703125" style="103" customWidth="1"/>
    <col min="6920" max="7168" width="9.140625" style="103"/>
    <col min="7169" max="7169" width="9.5703125" style="103" customWidth="1"/>
    <col min="7170" max="7170" width="52.85546875" style="103" customWidth="1"/>
    <col min="7171" max="7171" width="9.5703125" style="103" customWidth="1"/>
    <col min="7172" max="7172" width="15" style="103" customWidth="1"/>
    <col min="7173" max="7173" width="25.5703125" style="103" customWidth="1"/>
    <col min="7174" max="7174" width="19.42578125" style="103" customWidth="1"/>
    <col min="7175" max="7175" width="12.5703125" style="103" customWidth="1"/>
    <col min="7176" max="7424" width="9.140625" style="103"/>
    <col min="7425" max="7425" width="9.5703125" style="103" customWidth="1"/>
    <col min="7426" max="7426" width="52.85546875" style="103" customWidth="1"/>
    <col min="7427" max="7427" width="9.5703125" style="103" customWidth="1"/>
    <col min="7428" max="7428" width="15" style="103" customWidth="1"/>
    <col min="7429" max="7429" width="25.5703125" style="103" customWidth="1"/>
    <col min="7430" max="7430" width="19.42578125" style="103" customWidth="1"/>
    <col min="7431" max="7431" width="12.5703125" style="103" customWidth="1"/>
    <col min="7432" max="7680" width="9.140625" style="103"/>
    <col min="7681" max="7681" width="9.5703125" style="103" customWidth="1"/>
    <col min="7682" max="7682" width="52.85546875" style="103" customWidth="1"/>
    <col min="7683" max="7683" width="9.5703125" style="103" customWidth="1"/>
    <col min="7684" max="7684" width="15" style="103" customWidth="1"/>
    <col min="7685" max="7685" width="25.5703125" style="103" customWidth="1"/>
    <col min="7686" max="7686" width="19.42578125" style="103" customWidth="1"/>
    <col min="7687" max="7687" width="12.5703125" style="103" customWidth="1"/>
    <col min="7688" max="7936" width="9.140625" style="103"/>
    <col min="7937" max="7937" width="9.5703125" style="103" customWidth="1"/>
    <col min="7938" max="7938" width="52.85546875" style="103" customWidth="1"/>
    <col min="7939" max="7939" width="9.5703125" style="103" customWidth="1"/>
    <col min="7940" max="7940" width="15" style="103" customWidth="1"/>
    <col min="7941" max="7941" width="25.5703125" style="103" customWidth="1"/>
    <col min="7942" max="7942" width="19.42578125" style="103" customWidth="1"/>
    <col min="7943" max="7943" width="12.5703125" style="103" customWidth="1"/>
    <col min="7944" max="8192" width="9.140625" style="103"/>
    <col min="8193" max="8193" width="9.5703125" style="103" customWidth="1"/>
    <col min="8194" max="8194" width="52.85546875" style="103" customWidth="1"/>
    <col min="8195" max="8195" width="9.5703125" style="103" customWidth="1"/>
    <col min="8196" max="8196" width="15" style="103" customWidth="1"/>
    <col min="8197" max="8197" width="25.5703125" style="103" customWidth="1"/>
    <col min="8198" max="8198" width="19.42578125" style="103" customWidth="1"/>
    <col min="8199" max="8199" width="12.5703125" style="103" customWidth="1"/>
    <col min="8200" max="8448" width="9.140625" style="103"/>
    <col min="8449" max="8449" width="9.5703125" style="103" customWidth="1"/>
    <col min="8450" max="8450" width="52.85546875" style="103" customWidth="1"/>
    <col min="8451" max="8451" width="9.5703125" style="103" customWidth="1"/>
    <col min="8452" max="8452" width="15" style="103" customWidth="1"/>
    <col min="8453" max="8453" width="25.5703125" style="103" customWidth="1"/>
    <col min="8454" max="8454" width="19.42578125" style="103" customWidth="1"/>
    <col min="8455" max="8455" width="12.5703125" style="103" customWidth="1"/>
    <col min="8456" max="8704" width="9.140625" style="103"/>
    <col min="8705" max="8705" width="9.5703125" style="103" customWidth="1"/>
    <col min="8706" max="8706" width="52.85546875" style="103" customWidth="1"/>
    <col min="8707" max="8707" width="9.5703125" style="103" customWidth="1"/>
    <col min="8708" max="8708" width="15" style="103" customWidth="1"/>
    <col min="8709" max="8709" width="25.5703125" style="103" customWidth="1"/>
    <col min="8710" max="8710" width="19.42578125" style="103" customWidth="1"/>
    <col min="8711" max="8711" width="12.5703125" style="103" customWidth="1"/>
    <col min="8712" max="8960" width="9.140625" style="103"/>
    <col min="8961" max="8961" width="9.5703125" style="103" customWidth="1"/>
    <col min="8962" max="8962" width="52.85546875" style="103" customWidth="1"/>
    <col min="8963" max="8963" width="9.5703125" style="103" customWidth="1"/>
    <col min="8964" max="8964" width="15" style="103" customWidth="1"/>
    <col min="8965" max="8965" width="25.5703125" style="103" customWidth="1"/>
    <col min="8966" max="8966" width="19.42578125" style="103" customWidth="1"/>
    <col min="8967" max="8967" width="12.5703125" style="103" customWidth="1"/>
    <col min="8968" max="9216" width="9.140625" style="103"/>
    <col min="9217" max="9217" width="9.5703125" style="103" customWidth="1"/>
    <col min="9218" max="9218" width="52.85546875" style="103" customWidth="1"/>
    <col min="9219" max="9219" width="9.5703125" style="103" customWidth="1"/>
    <col min="9220" max="9220" width="15" style="103" customWidth="1"/>
    <col min="9221" max="9221" width="25.5703125" style="103" customWidth="1"/>
    <col min="9222" max="9222" width="19.42578125" style="103" customWidth="1"/>
    <col min="9223" max="9223" width="12.5703125" style="103" customWidth="1"/>
    <col min="9224" max="9472" width="9.140625" style="103"/>
    <col min="9473" max="9473" width="9.5703125" style="103" customWidth="1"/>
    <col min="9474" max="9474" width="52.85546875" style="103" customWidth="1"/>
    <col min="9475" max="9475" width="9.5703125" style="103" customWidth="1"/>
    <col min="9476" max="9476" width="15" style="103" customWidth="1"/>
    <col min="9477" max="9477" width="25.5703125" style="103" customWidth="1"/>
    <col min="9478" max="9478" width="19.42578125" style="103" customWidth="1"/>
    <col min="9479" max="9479" width="12.5703125" style="103" customWidth="1"/>
    <col min="9480" max="9728" width="9.140625" style="103"/>
    <col min="9729" max="9729" width="9.5703125" style="103" customWidth="1"/>
    <col min="9730" max="9730" width="52.85546875" style="103" customWidth="1"/>
    <col min="9731" max="9731" width="9.5703125" style="103" customWidth="1"/>
    <col min="9732" max="9732" width="15" style="103" customWidth="1"/>
    <col min="9733" max="9733" width="25.5703125" style="103" customWidth="1"/>
    <col min="9734" max="9734" width="19.42578125" style="103" customWidth="1"/>
    <col min="9735" max="9735" width="12.5703125" style="103" customWidth="1"/>
    <col min="9736" max="9984" width="9.140625" style="103"/>
    <col min="9985" max="9985" width="9.5703125" style="103" customWidth="1"/>
    <col min="9986" max="9986" width="52.85546875" style="103" customWidth="1"/>
    <col min="9987" max="9987" width="9.5703125" style="103" customWidth="1"/>
    <col min="9988" max="9988" width="15" style="103" customWidth="1"/>
    <col min="9989" max="9989" width="25.5703125" style="103" customWidth="1"/>
    <col min="9990" max="9990" width="19.42578125" style="103" customWidth="1"/>
    <col min="9991" max="9991" width="12.5703125" style="103" customWidth="1"/>
    <col min="9992" max="10240" width="9.140625" style="103"/>
    <col min="10241" max="10241" width="9.5703125" style="103" customWidth="1"/>
    <col min="10242" max="10242" width="52.85546875" style="103" customWidth="1"/>
    <col min="10243" max="10243" width="9.5703125" style="103" customWidth="1"/>
    <col min="10244" max="10244" width="15" style="103" customWidth="1"/>
    <col min="10245" max="10245" width="25.5703125" style="103" customWidth="1"/>
    <col min="10246" max="10246" width="19.42578125" style="103" customWidth="1"/>
    <col min="10247" max="10247" width="12.5703125" style="103" customWidth="1"/>
    <col min="10248" max="10496" width="9.140625" style="103"/>
    <col min="10497" max="10497" width="9.5703125" style="103" customWidth="1"/>
    <col min="10498" max="10498" width="52.85546875" style="103" customWidth="1"/>
    <col min="10499" max="10499" width="9.5703125" style="103" customWidth="1"/>
    <col min="10500" max="10500" width="15" style="103" customWidth="1"/>
    <col min="10501" max="10501" width="25.5703125" style="103" customWidth="1"/>
    <col min="10502" max="10502" width="19.42578125" style="103" customWidth="1"/>
    <col min="10503" max="10503" width="12.5703125" style="103" customWidth="1"/>
    <col min="10504" max="10752" width="9.140625" style="103"/>
    <col min="10753" max="10753" width="9.5703125" style="103" customWidth="1"/>
    <col min="10754" max="10754" width="52.85546875" style="103" customWidth="1"/>
    <col min="10755" max="10755" width="9.5703125" style="103" customWidth="1"/>
    <col min="10756" max="10756" width="15" style="103" customWidth="1"/>
    <col min="10757" max="10757" width="25.5703125" style="103" customWidth="1"/>
    <col min="10758" max="10758" width="19.42578125" style="103" customWidth="1"/>
    <col min="10759" max="10759" width="12.5703125" style="103" customWidth="1"/>
    <col min="10760" max="11008" width="9.140625" style="103"/>
    <col min="11009" max="11009" width="9.5703125" style="103" customWidth="1"/>
    <col min="11010" max="11010" width="52.85546875" style="103" customWidth="1"/>
    <col min="11011" max="11011" width="9.5703125" style="103" customWidth="1"/>
    <col min="11012" max="11012" width="15" style="103" customWidth="1"/>
    <col min="11013" max="11013" width="25.5703125" style="103" customWidth="1"/>
    <col min="11014" max="11014" width="19.42578125" style="103" customWidth="1"/>
    <col min="11015" max="11015" width="12.5703125" style="103" customWidth="1"/>
    <col min="11016" max="11264" width="9.140625" style="103"/>
    <col min="11265" max="11265" width="9.5703125" style="103" customWidth="1"/>
    <col min="11266" max="11266" width="52.85546875" style="103" customWidth="1"/>
    <col min="11267" max="11267" width="9.5703125" style="103" customWidth="1"/>
    <col min="11268" max="11268" width="15" style="103" customWidth="1"/>
    <col min="11269" max="11269" width="25.5703125" style="103" customWidth="1"/>
    <col min="11270" max="11270" width="19.42578125" style="103" customWidth="1"/>
    <col min="11271" max="11271" width="12.5703125" style="103" customWidth="1"/>
    <col min="11272" max="11520" width="9.140625" style="103"/>
    <col min="11521" max="11521" width="9.5703125" style="103" customWidth="1"/>
    <col min="11522" max="11522" width="52.85546875" style="103" customWidth="1"/>
    <col min="11523" max="11523" width="9.5703125" style="103" customWidth="1"/>
    <col min="11524" max="11524" width="15" style="103" customWidth="1"/>
    <col min="11525" max="11525" width="25.5703125" style="103" customWidth="1"/>
    <col min="11526" max="11526" width="19.42578125" style="103" customWidth="1"/>
    <col min="11527" max="11527" width="12.5703125" style="103" customWidth="1"/>
    <col min="11528" max="11776" width="9.140625" style="103"/>
    <col min="11777" max="11777" width="9.5703125" style="103" customWidth="1"/>
    <col min="11778" max="11778" width="52.85546875" style="103" customWidth="1"/>
    <col min="11779" max="11779" width="9.5703125" style="103" customWidth="1"/>
    <col min="11780" max="11780" width="15" style="103" customWidth="1"/>
    <col min="11781" max="11781" width="25.5703125" style="103" customWidth="1"/>
    <col min="11782" max="11782" width="19.42578125" style="103" customWidth="1"/>
    <col min="11783" max="11783" width="12.5703125" style="103" customWidth="1"/>
    <col min="11784" max="12032" width="9.140625" style="103"/>
    <col min="12033" max="12033" width="9.5703125" style="103" customWidth="1"/>
    <col min="12034" max="12034" width="52.85546875" style="103" customWidth="1"/>
    <col min="12035" max="12035" width="9.5703125" style="103" customWidth="1"/>
    <col min="12036" max="12036" width="15" style="103" customWidth="1"/>
    <col min="12037" max="12037" width="25.5703125" style="103" customWidth="1"/>
    <col min="12038" max="12038" width="19.42578125" style="103" customWidth="1"/>
    <col min="12039" max="12039" width="12.5703125" style="103" customWidth="1"/>
    <col min="12040" max="12288" width="9.140625" style="103"/>
    <col min="12289" max="12289" width="9.5703125" style="103" customWidth="1"/>
    <col min="12290" max="12290" width="52.85546875" style="103" customWidth="1"/>
    <col min="12291" max="12291" width="9.5703125" style="103" customWidth="1"/>
    <col min="12292" max="12292" width="15" style="103" customWidth="1"/>
    <col min="12293" max="12293" width="25.5703125" style="103" customWidth="1"/>
    <col min="12294" max="12294" width="19.42578125" style="103" customWidth="1"/>
    <col min="12295" max="12295" width="12.5703125" style="103" customWidth="1"/>
    <col min="12296" max="12544" width="9.140625" style="103"/>
    <col min="12545" max="12545" width="9.5703125" style="103" customWidth="1"/>
    <col min="12546" max="12546" width="52.85546875" style="103" customWidth="1"/>
    <col min="12547" max="12547" width="9.5703125" style="103" customWidth="1"/>
    <col min="12548" max="12548" width="15" style="103" customWidth="1"/>
    <col min="12549" max="12549" width="25.5703125" style="103" customWidth="1"/>
    <col min="12550" max="12550" width="19.42578125" style="103" customWidth="1"/>
    <col min="12551" max="12551" width="12.5703125" style="103" customWidth="1"/>
    <col min="12552" max="12800" width="9.140625" style="103"/>
    <col min="12801" max="12801" width="9.5703125" style="103" customWidth="1"/>
    <col min="12802" max="12802" width="52.85546875" style="103" customWidth="1"/>
    <col min="12803" max="12803" width="9.5703125" style="103" customWidth="1"/>
    <col min="12804" max="12804" width="15" style="103" customWidth="1"/>
    <col min="12805" max="12805" width="25.5703125" style="103" customWidth="1"/>
    <col min="12806" max="12806" width="19.42578125" style="103" customWidth="1"/>
    <col min="12807" max="12807" width="12.5703125" style="103" customWidth="1"/>
    <col min="12808" max="13056" width="9.140625" style="103"/>
    <col min="13057" max="13057" width="9.5703125" style="103" customWidth="1"/>
    <col min="13058" max="13058" width="52.85546875" style="103" customWidth="1"/>
    <col min="13059" max="13059" width="9.5703125" style="103" customWidth="1"/>
    <col min="13060" max="13060" width="15" style="103" customWidth="1"/>
    <col min="13061" max="13061" width="25.5703125" style="103" customWidth="1"/>
    <col min="13062" max="13062" width="19.42578125" style="103" customWidth="1"/>
    <col min="13063" max="13063" width="12.5703125" style="103" customWidth="1"/>
    <col min="13064" max="13312" width="9.140625" style="103"/>
    <col min="13313" max="13313" width="9.5703125" style="103" customWidth="1"/>
    <col min="13314" max="13314" width="52.85546875" style="103" customWidth="1"/>
    <col min="13315" max="13315" width="9.5703125" style="103" customWidth="1"/>
    <col min="13316" max="13316" width="15" style="103" customWidth="1"/>
    <col min="13317" max="13317" width="25.5703125" style="103" customWidth="1"/>
    <col min="13318" max="13318" width="19.42578125" style="103" customWidth="1"/>
    <col min="13319" max="13319" width="12.5703125" style="103" customWidth="1"/>
    <col min="13320" max="13568" width="9.140625" style="103"/>
    <col min="13569" max="13569" width="9.5703125" style="103" customWidth="1"/>
    <col min="13570" max="13570" width="52.85546875" style="103" customWidth="1"/>
    <col min="13571" max="13571" width="9.5703125" style="103" customWidth="1"/>
    <col min="13572" max="13572" width="15" style="103" customWidth="1"/>
    <col min="13573" max="13573" width="25.5703125" style="103" customWidth="1"/>
    <col min="13574" max="13574" width="19.42578125" style="103" customWidth="1"/>
    <col min="13575" max="13575" width="12.5703125" style="103" customWidth="1"/>
    <col min="13576" max="13824" width="9.140625" style="103"/>
    <col min="13825" max="13825" width="9.5703125" style="103" customWidth="1"/>
    <col min="13826" max="13826" width="52.85546875" style="103" customWidth="1"/>
    <col min="13827" max="13827" width="9.5703125" style="103" customWidth="1"/>
    <col min="13828" max="13828" width="15" style="103" customWidth="1"/>
    <col min="13829" max="13829" width="25.5703125" style="103" customWidth="1"/>
    <col min="13830" max="13830" width="19.42578125" style="103" customWidth="1"/>
    <col min="13831" max="13831" width="12.5703125" style="103" customWidth="1"/>
    <col min="13832" max="14080" width="9.140625" style="103"/>
    <col min="14081" max="14081" width="9.5703125" style="103" customWidth="1"/>
    <col min="14082" max="14082" width="52.85546875" style="103" customWidth="1"/>
    <col min="14083" max="14083" width="9.5703125" style="103" customWidth="1"/>
    <col min="14084" max="14084" width="15" style="103" customWidth="1"/>
    <col min="14085" max="14085" width="25.5703125" style="103" customWidth="1"/>
    <col min="14086" max="14086" width="19.42578125" style="103" customWidth="1"/>
    <col min="14087" max="14087" width="12.5703125" style="103" customWidth="1"/>
    <col min="14088" max="14336" width="9.140625" style="103"/>
    <col min="14337" max="14337" width="9.5703125" style="103" customWidth="1"/>
    <col min="14338" max="14338" width="52.85546875" style="103" customWidth="1"/>
    <col min="14339" max="14339" width="9.5703125" style="103" customWidth="1"/>
    <col min="14340" max="14340" width="15" style="103" customWidth="1"/>
    <col min="14341" max="14341" width="25.5703125" style="103" customWidth="1"/>
    <col min="14342" max="14342" width="19.42578125" style="103" customWidth="1"/>
    <col min="14343" max="14343" width="12.5703125" style="103" customWidth="1"/>
    <col min="14344" max="14592" width="9.140625" style="103"/>
    <col min="14593" max="14593" width="9.5703125" style="103" customWidth="1"/>
    <col min="14594" max="14594" width="52.85546875" style="103" customWidth="1"/>
    <col min="14595" max="14595" width="9.5703125" style="103" customWidth="1"/>
    <col min="14596" max="14596" width="15" style="103" customWidth="1"/>
    <col min="14597" max="14597" width="25.5703125" style="103" customWidth="1"/>
    <col min="14598" max="14598" width="19.42578125" style="103" customWidth="1"/>
    <col min="14599" max="14599" width="12.5703125" style="103" customWidth="1"/>
    <col min="14600" max="14848" width="9.140625" style="103"/>
    <col min="14849" max="14849" width="9.5703125" style="103" customWidth="1"/>
    <col min="14850" max="14850" width="52.85546875" style="103" customWidth="1"/>
    <col min="14851" max="14851" width="9.5703125" style="103" customWidth="1"/>
    <col min="14852" max="14852" width="15" style="103" customWidth="1"/>
    <col min="14853" max="14853" width="25.5703125" style="103" customWidth="1"/>
    <col min="14854" max="14854" width="19.42578125" style="103" customWidth="1"/>
    <col min="14855" max="14855" width="12.5703125" style="103" customWidth="1"/>
    <col min="14856" max="15104" width="9.140625" style="103"/>
    <col min="15105" max="15105" width="9.5703125" style="103" customWidth="1"/>
    <col min="15106" max="15106" width="52.85546875" style="103" customWidth="1"/>
    <col min="15107" max="15107" width="9.5703125" style="103" customWidth="1"/>
    <col min="15108" max="15108" width="15" style="103" customWidth="1"/>
    <col min="15109" max="15109" width="25.5703125" style="103" customWidth="1"/>
    <col min="15110" max="15110" width="19.42578125" style="103" customWidth="1"/>
    <col min="15111" max="15111" width="12.5703125" style="103" customWidth="1"/>
    <col min="15112" max="15360" width="9.140625" style="103"/>
    <col min="15361" max="15361" width="9.5703125" style="103" customWidth="1"/>
    <col min="15362" max="15362" width="52.85546875" style="103" customWidth="1"/>
    <col min="15363" max="15363" width="9.5703125" style="103" customWidth="1"/>
    <col min="15364" max="15364" width="15" style="103" customWidth="1"/>
    <col min="15365" max="15365" width="25.5703125" style="103" customWidth="1"/>
    <col min="15366" max="15366" width="19.42578125" style="103" customWidth="1"/>
    <col min="15367" max="15367" width="12.5703125" style="103" customWidth="1"/>
    <col min="15368" max="15616" width="9.140625" style="103"/>
    <col min="15617" max="15617" width="9.5703125" style="103" customWidth="1"/>
    <col min="15618" max="15618" width="52.85546875" style="103" customWidth="1"/>
    <col min="15619" max="15619" width="9.5703125" style="103" customWidth="1"/>
    <col min="15620" max="15620" width="15" style="103" customWidth="1"/>
    <col min="15621" max="15621" width="25.5703125" style="103" customWidth="1"/>
    <col min="15622" max="15622" width="19.42578125" style="103" customWidth="1"/>
    <col min="15623" max="15623" width="12.5703125" style="103" customWidth="1"/>
    <col min="15624" max="15872" width="9.140625" style="103"/>
    <col min="15873" max="15873" width="9.5703125" style="103" customWidth="1"/>
    <col min="15874" max="15874" width="52.85546875" style="103" customWidth="1"/>
    <col min="15875" max="15875" width="9.5703125" style="103" customWidth="1"/>
    <col min="15876" max="15876" width="15" style="103" customWidth="1"/>
    <col min="15877" max="15877" width="25.5703125" style="103" customWidth="1"/>
    <col min="15878" max="15878" width="19.42578125" style="103" customWidth="1"/>
    <col min="15879" max="15879" width="12.5703125" style="103" customWidth="1"/>
    <col min="15880" max="16128" width="9.140625" style="103"/>
    <col min="16129" max="16129" width="9.5703125" style="103" customWidth="1"/>
    <col min="16130" max="16130" width="52.85546875" style="103" customWidth="1"/>
    <col min="16131" max="16131" width="9.5703125" style="103" customWidth="1"/>
    <col min="16132" max="16132" width="15" style="103" customWidth="1"/>
    <col min="16133" max="16133" width="25.5703125" style="103" customWidth="1"/>
    <col min="16134" max="16134" width="19.42578125" style="103" customWidth="1"/>
    <col min="16135" max="16135" width="12.5703125" style="103" customWidth="1"/>
    <col min="16136" max="16384" width="9.140625" style="103"/>
  </cols>
  <sheetData>
    <row r="1" spans="1:8" ht="29.45" customHeight="1">
      <c r="A1" s="103" t="s">
        <v>123</v>
      </c>
      <c r="C1" s="173" t="s">
        <v>168</v>
      </c>
      <c r="D1" s="173"/>
      <c r="E1" s="104"/>
      <c r="F1" s="104"/>
      <c r="H1" s="104"/>
    </row>
    <row r="2" spans="1:8">
      <c r="A2" s="105" t="s">
        <v>124</v>
      </c>
      <c r="C2" s="106"/>
      <c r="D2" s="106"/>
    </row>
    <row r="3" spans="1:8">
      <c r="H3" s="105"/>
    </row>
    <row r="4" spans="1:8" ht="52.5" customHeight="1">
      <c r="A4" s="148" t="s">
        <v>125</v>
      </c>
      <c r="B4" s="170" t="s">
        <v>247</v>
      </c>
      <c r="C4" s="170"/>
      <c r="D4" s="170"/>
    </row>
    <row r="5" spans="1:8" s="107" customFormat="1" ht="23.45" customHeight="1">
      <c r="A5" s="149" t="s">
        <v>1</v>
      </c>
      <c r="B5" s="150" t="s">
        <v>126</v>
      </c>
      <c r="C5" s="151" t="s">
        <v>127</v>
      </c>
      <c r="D5" s="151" t="s">
        <v>128</v>
      </c>
      <c r="F5" s="108"/>
      <c r="G5" s="109"/>
    </row>
    <row r="6" spans="1:8" ht="19.5" customHeight="1">
      <c r="A6" s="152">
        <v>1</v>
      </c>
      <c r="B6" s="153" t="s">
        <v>129</v>
      </c>
      <c r="C6" s="153"/>
      <c r="D6" s="152"/>
      <c r="F6" s="110"/>
      <c r="G6" s="111"/>
    </row>
    <row r="7" spans="1:8" ht="18.75" customHeight="1">
      <c r="A7" s="152"/>
      <c r="B7" s="154" t="s">
        <v>130</v>
      </c>
      <c r="C7" s="152"/>
      <c r="D7" s="152"/>
      <c r="F7" s="110"/>
      <c r="G7" s="111"/>
    </row>
    <row r="8" spans="1:8" ht="28.35" customHeight="1">
      <c r="A8" s="152"/>
      <c r="B8" s="152" t="s">
        <v>248</v>
      </c>
      <c r="C8" s="155" t="s">
        <v>131</v>
      </c>
      <c r="D8" s="152"/>
      <c r="F8" s="110"/>
      <c r="G8" s="111"/>
    </row>
    <row r="9" spans="1:8" ht="25.5" customHeight="1">
      <c r="A9" s="152"/>
      <c r="B9" s="152" t="s">
        <v>132</v>
      </c>
      <c r="C9" s="152">
        <v>1</v>
      </c>
      <c r="D9" s="152"/>
      <c r="F9" s="110"/>
      <c r="G9" s="111"/>
    </row>
    <row r="10" spans="1:8" ht="25.5" customHeight="1">
      <c r="A10" s="152"/>
      <c r="B10" s="152" t="s">
        <v>133</v>
      </c>
      <c r="C10" s="152">
        <v>0.9</v>
      </c>
      <c r="D10" s="152"/>
      <c r="F10" s="110"/>
      <c r="G10" s="111"/>
    </row>
    <row r="11" spans="1:8" ht="25.5" customHeight="1">
      <c r="A11" s="156"/>
      <c r="B11" s="157" t="s">
        <v>134</v>
      </c>
      <c r="C11" s="152">
        <v>0.4</v>
      </c>
      <c r="D11" s="152"/>
      <c r="F11" s="110"/>
      <c r="G11" s="111"/>
    </row>
    <row r="12" spans="1:8" ht="28.35" customHeight="1">
      <c r="A12" s="156"/>
      <c r="B12" s="158" t="s">
        <v>135</v>
      </c>
      <c r="C12" s="159">
        <v>1.08</v>
      </c>
      <c r="D12" s="159"/>
      <c r="F12" s="110"/>
      <c r="G12" s="111"/>
    </row>
    <row r="13" spans="1:8" ht="28.35" customHeight="1">
      <c r="A13" s="156"/>
      <c r="B13" s="160" t="s">
        <v>136</v>
      </c>
      <c r="C13" s="159">
        <v>4.2699999999999996</v>
      </c>
      <c r="D13" s="159"/>
      <c r="F13" s="110"/>
      <c r="G13" s="111"/>
    </row>
    <row r="14" spans="1:8" ht="25.5" customHeight="1">
      <c r="A14" s="156"/>
      <c r="B14" s="160" t="s">
        <v>249</v>
      </c>
      <c r="C14" s="161"/>
      <c r="D14" s="161">
        <f>(18.977)*C9*C10*C11*C12*C13</f>
        <v>31.505159952000003</v>
      </c>
      <c r="F14" s="110"/>
      <c r="G14" s="111"/>
    </row>
    <row r="15" spans="1:8" ht="21" customHeight="1">
      <c r="A15" s="162"/>
      <c r="B15" s="163" t="s">
        <v>137</v>
      </c>
      <c r="C15" s="162"/>
      <c r="D15" s="164">
        <f>D14</f>
        <v>31.505159952000003</v>
      </c>
      <c r="F15" s="110"/>
      <c r="G15" s="111"/>
    </row>
    <row r="16" spans="1:8" ht="25.5" customHeight="1">
      <c r="A16" s="171" t="s">
        <v>138</v>
      </c>
      <c r="B16" s="171"/>
      <c r="C16" s="171"/>
      <c r="D16" s="171"/>
      <c r="F16" s="110"/>
      <c r="G16" s="111"/>
    </row>
    <row r="17" spans="1:7" ht="25.5" customHeight="1">
      <c r="A17" s="112"/>
      <c r="B17" s="112"/>
      <c r="C17" s="112"/>
      <c r="D17" s="112"/>
      <c r="F17" s="110"/>
      <c r="G17" s="111"/>
    </row>
    <row r="18" spans="1:7" ht="25.5" customHeight="1">
      <c r="A18" s="172" t="s">
        <v>139</v>
      </c>
      <c r="B18" s="172"/>
      <c r="C18" s="172"/>
      <c r="D18" s="172"/>
    </row>
    <row r="19" spans="1:7" ht="25.5" customHeight="1">
      <c r="A19" s="112"/>
      <c r="B19" s="112"/>
      <c r="C19" s="112"/>
      <c r="D19" s="112"/>
      <c r="F19" s="110"/>
      <c r="G19" s="111"/>
    </row>
    <row r="20" spans="1:7" ht="25.5" customHeight="1">
      <c r="A20" s="112"/>
      <c r="B20" s="112"/>
      <c r="C20" s="112"/>
      <c r="D20" s="112"/>
      <c r="F20" s="110"/>
      <c r="G20" s="111"/>
    </row>
    <row r="21" spans="1:7" ht="25.5" customHeight="1">
      <c r="A21" s="112"/>
      <c r="B21" s="112"/>
      <c r="C21" s="112"/>
      <c r="D21" s="112"/>
      <c r="F21" s="110"/>
      <c r="G21" s="111"/>
    </row>
    <row r="22" spans="1:7" ht="24.6" customHeight="1">
      <c r="A22" s="105"/>
      <c r="B22" s="105"/>
      <c r="C22" s="105"/>
      <c r="D22" s="105"/>
      <c r="E22" s="113"/>
    </row>
    <row r="23" spans="1:7" ht="66" customHeight="1">
      <c r="A23" s="105"/>
      <c r="B23" s="105"/>
      <c r="C23" s="105"/>
      <c r="D23" s="105"/>
    </row>
    <row r="24" spans="1:7" s="114" customFormat="1" ht="17.25" customHeight="1"/>
  </sheetData>
  <sheetProtection selectLockedCells="1" selectUnlockedCells="1"/>
  <mergeCells count="4">
    <mergeCell ref="B4:D4"/>
    <mergeCell ref="A16:D16"/>
    <mergeCell ref="A18:D18"/>
    <mergeCell ref="C1:D1"/>
  </mergeCells>
  <pageMargins left="0.51180555555555551" right="0.51180555555555551" top="0.35416666666666669" bottom="0.35416666666666669" header="0.51180555555555551" footer="0.51180555555555551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tabSelected="1" topLeftCell="A13" zoomScale="85" zoomScaleNormal="85" workbookViewId="0">
      <selection activeCell="D7" sqref="D7"/>
    </sheetView>
  </sheetViews>
  <sheetFormatPr defaultRowHeight="12.75"/>
  <cols>
    <col min="1" max="1" width="7.28515625" customWidth="1"/>
    <col min="2" max="2" width="30.85546875" customWidth="1"/>
    <col min="3" max="3" width="16.5703125" customWidth="1"/>
    <col min="4" max="4" width="6.7109375" style="3" customWidth="1"/>
    <col min="5" max="5" width="7.5703125" style="3" customWidth="1"/>
    <col min="6" max="6" width="12" style="3"/>
    <col min="7" max="7" width="10" style="3" customWidth="1"/>
    <col min="9" max="9" width="10.5703125" bestFit="1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258</v>
      </c>
      <c r="B2" s="176"/>
      <c r="C2" s="176"/>
      <c r="D2" s="176"/>
      <c r="E2" s="176"/>
      <c r="F2" s="176"/>
      <c r="G2" s="176"/>
    </row>
    <row r="4" spans="1:7">
      <c r="A4" s="129" t="s">
        <v>262</v>
      </c>
      <c r="B4" s="182"/>
      <c r="C4" s="183"/>
      <c r="D4" s="183"/>
      <c r="E4" s="183"/>
      <c r="F4" s="183"/>
      <c r="G4" s="183"/>
    </row>
    <row r="5" spans="1:7" ht="38.450000000000003" customHeight="1">
      <c r="A5" s="184" t="s">
        <v>273</v>
      </c>
      <c r="B5" s="185"/>
      <c r="C5" s="185"/>
      <c r="D5" s="185"/>
      <c r="E5" s="185"/>
      <c r="F5" s="185"/>
      <c r="G5" s="185"/>
    </row>
    <row r="6" spans="1:7">
      <c r="A6" s="169"/>
    </row>
    <row r="7" spans="1:7">
      <c r="A7" s="129" t="s">
        <v>256</v>
      </c>
      <c r="B7" s="100"/>
    </row>
    <row r="8" spans="1:7">
      <c r="A8" s="129" t="s">
        <v>257</v>
      </c>
      <c r="B8" s="100"/>
    </row>
    <row r="10" spans="1:7" ht="22.5">
      <c r="A10" s="58" t="s">
        <v>1</v>
      </c>
      <c r="B10" s="59" t="s">
        <v>2</v>
      </c>
      <c r="C10" s="60" t="s">
        <v>46</v>
      </c>
      <c r="D10" s="59" t="s">
        <v>3</v>
      </c>
      <c r="E10" s="59" t="s">
        <v>4</v>
      </c>
      <c r="F10" s="59" t="s">
        <v>47</v>
      </c>
      <c r="G10" s="60" t="s">
        <v>48</v>
      </c>
    </row>
    <row r="11" spans="1:7" ht="47.25" customHeight="1">
      <c r="A11" s="59" t="s">
        <v>5</v>
      </c>
      <c r="B11" s="83" t="s">
        <v>49</v>
      </c>
      <c r="C11" s="83" t="s">
        <v>50</v>
      </c>
      <c r="D11" s="84" t="s">
        <v>120</v>
      </c>
      <c r="E11" s="85">
        <v>2</v>
      </c>
      <c r="F11" s="84">
        <v>3.61</v>
      </c>
      <c r="G11" s="86">
        <f>(E11*F11)*0.001</f>
        <v>7.2199999999999999E-3</v>
      </c>
    </row>
    <row r="12" spans="1:7" ht="36" customHeight="1">
      <c r="A12" s="177" t="s">
        <v>6</v>
      </c>
      <c r="B12" s="91" t="s">
        <v>64</v>
      </c>
      <c r="C12" s="93" t="s">
        <v>66</v>
      </c>
      <c r="D12" s="94" t="s">
        <v>44</v>
      </c>
      <c r="E12" s="96">
        <v>8</v>
      </c>
      <c r="F12" s="94">
        <v>29.38</v>
      </c>
      <c r="G12" s="98">
        <f>(E12*F12)*0.001</f>
        <v>0.23504</v>
      </c>
    </row>
    <row r="13" spans="1:7" ht="15" customHeight="1">
      <c r="A13" s="177"/>
      <c r="B13" s="92" t="s">
        <v>65</v>
      </c>
      <c r="C13" s="87" t="s">
        <v>51</v>
      </c>
      <c r="D13" s="95" t="s">
        <v>22</v>
      </c>
      <c r="E13" s="97">
        <v>8</v>
      </c>
      <c r="F13" s="95">
        <v>32.590000000000003</v>
      </c>
      <c r="G13" s="99">
        <f>(E13*F13)*0.001</f>
        <v>0.26072000000000001</v>
      </c>
    </row>
    <row r="14" spans="1:7" ht="24.75" customHeight="1">
      <c r="A14" s="59" t="s">
        <v>7</v>
      </c>
      <c r="B14" s="87" t="s">
        <v>68</v>
      </c>
      <c r="C14" s="87" t="s">
        <v>52</v>
      </c>
      <c r="D14" s="88" t="s">
        <v>121</v>
      </c>
      <c r="E14" s="89">
        <v>2</v>
      </c>
      <c r="F14" s="88">
        <v>19.47</v>
      </c>
      <c r="G14" s="90">
        <f>(E14*F14)*0.001</f>
        <v>3.8939999999999995E-2</v>
      </c>
    </row>
    <row r="15" spans="1:7">
      <c r="A15" s="178" t="s">
        <v>8</v>
      </c>
      <c r="B15" s="178"/>
      <c r="C15" s="178"/>
      <c r="D15" s="178"/>
      <c r="E15" s="178"/>
      <c r="F15" s="178"/>
      <c r="G15" s="65">
        <f>SUM(G11:G14)</f>
        <v>0.54191999999999996</v>
      </c>
    </row>
    <row r="16" spans="1:7" ht="36.75" customHeight="1">
      <c r="A16" s="59" t="s">
        <v>9</v>
      </c>
      <c r="B16" s="63" t="s">
        <v>10</v>
      </c>
      <c r="C16" s="66" t="s">
        <v>11</v>
      </c>
      <c r="D16" s="59" t="s">
        <v>14</v>
      </c>
      <c r="E16" s="67">
        <v>2</v>
      </c>
      <c r="F16" s="59">
        <v>38.4</v>
      </c>
      <c r="G16" s="68">
        <f>(E16*F16)*0.001</f>
        <v>7.6799999999999993E-2</v>
      </c>
    </row>
    <row r="17" spans="1:10" ht="36" customHeight="1">
      <c r="A17" s="59" t="s">
        <v>12</v>
      </c>
      <c r="B17" s="69" t="s">
        <v>13</v>
      </c>
      <c r="C17" s="63" t="s">
        <v>53</v>
      </c>
      <c r="D17" s="59" t="s">
        <v>14</v>
      </c>
      <c r="E17" s="67">
        <v>2</v>
      </c>
      <c r="F17" s="59">
        <v>194.7</v>
      </c>
      <c r="G17" s="68">
        <f>(E17*F17)*0.001</f>
        <v>0.38939999999999997</v>
      </c>
    </row>
    <row r="18" spans="1:10" ht="25.5" customHeight="1">
      <c r="A18" s="59" t="s">
        <v>15</v>
      </c>
      <c r="B18" s="63" t="s">
        <v>16</v>
      </c>
      <c r="C18" s="58" t="s">
        <v>17</v>
      </c>
      <c r="D18" s="59" t="s">
        <v>14</v>
      </c>
      <c r="E18" s="67">
        <v>2</v>
      </c>
      <c r="F18" s="59">
        <v>11.4</v>
      </c>
      <c r="G18" s="68">
        <f>(E18*F18)*0.001</f>
        <v>2.2800000000000001E-2</v>
      </c>
    </row>
    <row r="19" spans="1:10">
      <c r="A19" s="61" t="s">
        <v>18</v>
      </c>
      <c r="B19" s="70" t="s">
        <v>19</v>
      </c>
      <c r="C19" s="70" t="s">
        <v>54</v>
      </c>
      <c r="D19" s="61" t="s">
        <v>14</v>
      </c>
      <c r="E19" s="62">
        <v>5</v>
      </c>
      <c r="F19" s="61">
        <v>67.3</v>
      </c>
      <c r="G19" s="64">
        <f>(E19*F19)*0.001</f>
        <v>0.33650000000000002</v>
      </c>
    </row>
    <row r="20" spans="1:10">
      <c r="A20" s="178" t="s">
        <v>45</v>
      </c>
      <c r="B20" s="178"/>
      <c r="C20" s="178"/>
      <c r="D20" s="178"/>
      <c r="E20" s="178"/>
      <c r="F20" s="178"/>
      <c r="G20" s="71">
        <f>SUM(G16:G19)</f>
        <v>0.8254999999999999</v>
      </c>
    </row>
    <row r="21" spans="1:10" ht="36" customHeight="1">
      <c r="A21" s="59" t="s">
        <v>20</v>
      </c>
      <c r="B21" s="66" t="s">
        <v>21</v>
      </c>
      <c r="C21" s="63" t="s">
        <v>55</v>
      </c>
      <c r="D21" s="59" t="s">
        <v>22</v>
      </c>
      <c r="E21" s="67">
        <f>E12+E13</f>
        <v>16</v>
      </c>
      <c r="F21" s="59">
        <v>9.84</v>
      </c>
      <c r="G21" s="68">
        <f>(E21*F21)*0.001</f>
        <v>0.15744</v>
      </c>
    </row>
    <row r="22" spans="1:10" ht="25.5" customHeight="1">
      <c r="A22" s="59" t="s">
        <v>23</v>
      </c>
      <c r="B22" s="63" t="s">
        <v>24</v>
      </c>
      <c r="C22" s="58" t="s">
        <v>25</v>
      </c>
      <c r="D22" s="59" t="s">
        <v>26</v>
      </c>
      <c r="E22" s="67">
        <v>8</v>
      </c>
      <c r="F22" s="59">
        <v>0.63500000000000001</v>
      </c>
      <c r="G22" s="68">
        <f>(E22*F22)*0.01</f>
        <v>5.0800000000000005E-2</v>
      </c>
    </row>
    <row r="23" spans="1:10">
      <c r="A23" s="178" t="s">
        <v>58</v>
      </c>
      <c r="B23" s="178"/>
      <c r="C23" s="178"/>
      <c r="D23" s="178"/>
      <c r="E23" s="178"/>
      <c r="F23" s="178"/>
      <c r="G23" s="71">
        <f>SUM(G21+G22)</f>
        <v>0.20824000000000001</v>
      </c>
      <c r="H23" s="9"/>
    </row>
    <row r="24" spans="1:10" ht="26.25" customHeight="1">
      <c r="A24" s="59" t="s">
        <v>27</v>
      </c>
      <c r="B24" s="69" t="s">
        <v>28</v>
      </c>
      <c r="C24" s="63" t="s">
        <v>56</v>
      </c>
      <c r="D24" s="59" t="s">
        <v>26</v>
      </c>
      <c r="E24" s="72">
        <v>27.3</v>
      </c>
      <c r="F24" s="59">
        <v>0.20599999999999999</v>
      </c>
      <c r="G24" s="68">
        <f>(E24*F24)*0.01</f>
        <v>5.6238000000000003E-2</v>
      </c>
    </row>
    <row r="25" spans="1:10">
      <c r="A25" s="178" t="s">
        <v>29</v>
      </c>
      <c r="B25" s="178"/>
      <c r="C25" s="178"/>
      <c r="D25" s="178"/>
      <c r="E25" s="178"/>
      <c r="F25" s="178"/>
      <c r="G25" s="71">
        <f>G23+G24</f>
        <v>0.26447799999999999</v>
      </c>
    </row>
    <row r="26" spans="1:10" ht="33.75">
      <c r="A26" s="59" t="s">
        <v>30</v>
      </c>
      <c r="B26" s="58" t="s">
        <v>31</v>
      </c>
      <c r="C26" s="63" t="s">
        <v>67</v>
      </c>
      <c r="D26" s="59" t="s">
        <v>26</v>
      </c>
      <c r="E26" s="59">
        <v>16.25</v>
      </c>
      <c r="F26" s="59">
        <v>0.29399999999999998</v>
      </c>
      <c r="G26" s="68">
        <f>(F26*E26)*0.01</f>
        <v>4.7774999999999998E-2</v>
      </c>
    </row>
    <row r="27" spans="1:10">
      <c r="A27" s="61" t="s">
        <v>32</v>
      </c>
      <c r="B27" s="70" t="s">
        <v>33</v>
      </c>
      <c r="C27" s="58" t="s">
        <v>34</v>
      </c>
      <c r="D27" s="59" t="s">
        <v>26</v>
      </c>
      <c r="E27" s="101" t="s">
        <v>176</v>
      </c>
      <c r="F27" s="74" t="s">
        <v>176</v>
      </c>
      <c r="G27" s="102" t="s">
        <v>176</v>
      </c>
    </row>
    <row r="28" spans="1:10">
      <c r="A28" s="61" t="s">
        <v>35</v>
      </c>
      <c r="B28" s="70" t="s">
        <v>36</v>
      </c>
      <c r="C28" s="70" t="s">
        <v>57</v>
      </c>
      <c r="D28" s="61" t="s">
        <v>26</v>
      </c>
      <c r="E28" s="62">
        <v>15</v>
      </c>
      <c r="F28" s="75">
        <f>G26+G15</f>
        <v>0.58969499999999997</v>
      </c>
      <c r="G28" s="64">
        <f>(E28*F28)*0.01</f>
        <v>8.8454249999999984E-2</v>
      </c>
    </row>
    <row r="29" spans="1:10">
      <c r="A29" s="178" t="s">
        <v>38</v>
      </c>
      <c r="B29" s="178"/>
      <c r="C29" s="178"/>
      <c r="D29" s="178"/>
      <c r="E29" s="178"/>
      <c r="F29" s="178"/>
      <c r="G29" s="71">
        <f>G26+G28</f>
        <v>0.13622924999999997</v>
      </c>
    </row>
    <row r="30" spans="1:10">
      <c r="A30" s="61" t="s">
        <v>39</v>
      </c>
      <c r="B30" s="70" t="s">
        <v>59</v>
      </c>
      <c r="C30" s="70" t="s">
        <v>60</v>
      </c>
      <c r="D30" s="61" t="s">
        <v>26</v>
      </c>
      <c r="E30" s="62">
        <v>8</v>
      </c>
      <c r="F30" s="75">
        <f>G15+G20+G25+G29</f>
        <v>1.7681272499999998</v>
      </c>
      <c r="G30" s="64">
        <f>(E30*F30)*0.01</f>
        <v>0.14145017999999998</v>
      </c>
    </row>
    <row r="31" spans="1:10">
      <c r="A31" s="76"/>
      <c r="B31" s="179" t="s">
        <v>40</v>
      </c>
      <c r="C31" s="179"/>
      <c r="D31" s="179"/>
      <c r="E31" s="179"/>
      <c r="F31" s="179"/>
      <c r="G31" s="77">
        <f>G15+G20+G25+G29+G30-0.001</f>
        <v>1.9085774299999998</v>
      </c>
    </row>
    <row r="32" spans="1:10" ht="22.15" customHeight="1">
      <c r="A32" s="73" t="s">
        <v>37</v>
      </c>
      <c r="B32" s="180" t="s">
        <v>271</v>
      </c>
      <c r="C32" s="180"/>
      <c r="D32" s="180"/>
      <c r="E32" s="78">
        <f>G31*1000</f>
        <v>1908.5774299999998</v>
      </c>
      <c r="F32" s="73">
        <v>52.94</v>
      </c>
      <c r="G32" s="79">
        <f>ROUND(G31,3)*F32*1000</f>
        <v>101062.46</v>
      </c>
      <c r="I32" s="6"/>
      <c r="J32" s="6"/>
    </row>
    <row r="33" spans="1:7" ht="13.5" customHeight="1">
      <c r="A33" s="61" t="s">
        <v>41</v>
      </c>
      <c r="B33" s="181" t="s">
        <v>119</v>
      </c>
      <c r="C33" s="181"/>
      <c r="D33" s="181"/>
      <c r="E33" s="80">
        <f>G32</f>
        <v>101062.46</v>
      </c>
      <c r="F33" s="61">
        <v>0.7</v>
      </c>
      <c r="G33" s="81">
        <f>G32*F33</f>
        <v>70743.721999999994</v>
      </c>
    </row>
    <row r="34" spans="1:7">
      <c r="A34" s="179" t="s">
        <v>42</v>
      </c>
      <c r="B34" s="179"/>
      <c r="C34" s="179"/>
      <c r="D34" s="179"/>
      <c r="E34" s="179"/>
      <c r="F34" s="179"/>
      <c r="G34" s="82">
        <f>G33</f>
        <v>70743.721999999994</v>
      </c>
    </row>
    <row r="35" spans="1:7">
      <c r="A35" s="55" t="s">
        <v>118</v>
      </c>
      <c r="B35" s="56" t="s">
        <v>272</v>
      </c>
      <c r="C35" s="56"/>
      <c r="D35" s="56"/>
      <c r="E35" s="56"/>
      <c r="F35" s="57"/>
      <c r="G35" s="57"/>
    </row>
    <row r="36" spans="1:7">
      <c r="B36" s="54"/>
    </row>
    <row r="37" spans="1:7">
      <c r="A37" s="130" t="s">
        <v>259</v>
      </c>
      <c r="B37" s="8"/>
      <c r="C37" s="8"/>
      <c r="D37" s="8"/>
      <c r="E37" s="8"/>
      <c r="F37" s="130" t="s">
        <v>260</v>
      </c>
      <c r="G37" s="8"/>
    </row>
    <row r="39" spans="1:7">
      <c r="A39" s="167"/>
      <c r="F39" s="168" t="s">
        <v>270</v>
      </c>
    </row>
    <row r="40" spans="1:7">
      <c r="A40" s="7"/>
      <c r="F40" s="10"/>
    </row>
    <row r="42" spans="1:7">
      <c r="D42"/>
      <c r="E42"/>
      <c r="F42"/>
      <c r="G42"/>
    </row>
    <row r="43" spans="1:7">
      <c r="D43"/>
      <c r="E43"/>
      <c r="F43"/>
      <c r="G43"/>
    </row>
    <row r="44" spans="1:7">
      <c r="D44"/>
      <c r="E44"/>
      <c r="F44"/>
      <c r="G44"/>
    </row>
    <row r="45" spans="1:7">
      <c r="D45"/>
      <c r="E45"/>
      <c r="F45"/>
      <c r="G45"/>
    </row>
    <row r="46" spans="1:7">
      <c r="D46"/>
      <c r="E46"/>
      <c r="F46"/>
      <c r="G46"/>
    </row>
    <row r="47" spans="1:7" ht="13.5" customHeight="1">
      <c r="D47"/>
      <c r="E47"/>
      <c r="F47"/>
      <c r="G47"/>
    </row>
    <row r="48" spans="1:7">
      <c r="D48"/>
      <c r="E48"/>
      <c r="F48"/>
      <c r="G48"/>
    </row>
    <row r="49" spans="4:7">
      <c r="D49"/>
      <c r="E49"/>
      <c r="F49"/>
      <c r="G49"/>
    </row>
    <row r="50" spans="4:7">
      <c r="D50"/>
      <c r="E50"/>
      <c r="F50"/>
      <c r="G50"/>
    </row>
    <row r="51" spans="4:7">
      <c r="D51"/>
      <c r="E51"/>
      <c r="F51"/>
      <c r="G51"/>
    </row>
    <row r="52" spans="4:7">
      <c r="D52"/>
      <c r="E52"/>
      <c r="F52"/>
      <c r="G52"/>
    </row>
    <row r="53" spans="4:7">
      <c r="D53"/>
      <c r="E53"/>
      <c r="F53"/>
      <c r="G53"/>
    </row>
    <row r="54" spans="4:7">
      <c r="D54"/>
      <c r="E54"/>
      <c r="F54"/>
      <c r="G54"/>
    </row>
    <row r="55" spans="4:7">
      <c r="D55"/>
      <c r="E55"/>
      <c r="F55"/>
      <c r="G55"/>
    </row>
    <row r="56" spans="4:7">
      <c r="D56"/>
      <c r="E56"/>
      <c r="F56"/>
      <c r="G56"/>
    </row>
    <row r="57" spans="4:7">
      <c r="D57"/>
      <c r="E57"/>
      <c r="F57"/>
      <c r="G57"/>
    </row>
    <row r="58" spans="4:7">
      <c r="D58"/>
      <c r="E58"/>
      <c r="F58"/>
      <c r="G58"/>
    </row>
    <row r="59" spans="4:7">
      <c r="D59"/>
      <c r="E59"/>
      <c r="F59"/>
      <c r="G59"/>
    </row>
    <row r="60" spans="4:7">
      <c r="D60"/>
      <c r="E60"/>
      <c r="F60"/>
      <c r="G60"/>
    </row>
    <row r="61" spans="4:7">
      <c r="D61"/>
      <c r="E61"/>
      <c r="F61"/>
      <c r="G61"/>
    </row>
    <row r="62" spans="4:7">
      <c r="D62"/>
      <c r="E62"/>
      <c r="F62"/>
      <c r="G62"/>
    </row>
    <row r="63" spans="4:7">
      <c r="D63"/>
      <c r="E63"/>
      <c r="F63"/>
      <c r="G63"/>
    </row>
    <row r="64" spans="4:7">
      <c r="D64"/>
      <c r="E64"/>
      <c r="F64"/>
      <c r="G64"/>
    </row>
    <row r="65" spans="4:7">
      <c r="D65"/>
      <c r="E65"/>
      <c r="F65"/>
      <c r="G65"/>
    </row>
    <row r="66" spans="4:7">
      <c r="D66"/>
      <c r="E66"/>
      <c r="F66"/>
      <c r="G66"/>
    </row>
    <row r="67" spans="4:7">
      <c r="D67"/>
      <c r="E67"/>
      <c r="F67"/>
      <c r="G67"/>
    </row>
    <row r="68" spans="4:7">
      <c r="D68"/>
      <c r="E68"/>
      <c r="F68"/>
      <c r="G68"/>
    </row>
    <row r="69" spans="4:7">
      <c r="D69"/>
      <c r="E69"/>
      <c r="F69"/>
      <c r="G69"/>
    </row>
    <row r="70" spans="4:7">
      <c r="D70"/>
      <c r="E70"/>
      <c r="F70"/>
      <c r="G70"/>
    </row>
    <row r="71" spans="4:7">
      <c r="D71"/>
      <c r="E71"/>
      <c r="F71"/>
      <c r="G71"/>
    </row>
    <row r="72" spans="4:7">
      <c r="D72"/>
      <c r="E72"/>
      <c r="F72"/>
      <c r="G72"/>
    </row>
    <row r="73" spans="4:7">
      <c r="D73"/>
      <c r="E73"/>
      <c r="F73"/>
      <c r="G73"/>
    </row>
    <row r="74" spans="4:7">
      <c r="D74"/>
      <c r="E74"/>
      <c r="F74"/>
      <c r="G74"/>
    </row>
    <row r="75" spans="4:7">
      <c r="D75"/>
      <c r="E75"/>
      <c r="F75"/>
      <c r="G75"/>
    </row>
    <row r="76" spans="4:7">
      <c r="D76"/>
      <c r="E76"/>
      <c r="F76"/>
      <c r="G76"/>
    </row>
    <row r="77" spans="4:7">
      <c r="D77"/>
      <c r="E77"/>
      <c r="F77"/>
      <c r="G77"/>
    </row>
    <row r="78" spans="4:7">
      <c r="D78"/>
      <c r="E78"/>
      <c r="F78"/>
      <c r="G78"/>
    </row>
    <row r="79" spans="4:7">
      <c r="D79"/>
      <c r="E79"/>
      <c r="F79"/>
      <c r="G79"/>
    </row>
    <row r="80" spans="4:7">
      <c r="D80"/>
      <c r="E80"/>
      <c r="F80"/>
      <c r="G80"/>
    </row>
    <row r="81" spans="4:7">
      <c r="D81"/>
      <c r="E81"/>
      <c r="F81"/>
      <c r="G81"/>
    </row>
    <row r="82" spans="4:7">
      <c r="D82"/>
      <c r="E82"/>
      <c r="F82"/>
      <c r="G82"/>
    </row>
    <row r="83" spans="4:7">
      <c r="D83"/>
      <c r="E83"/>
      <c r="F83"/>
      <c r="G83"/>
    </row>
    <row r="84" spans="4:7">
      <c r="D84"/>
      <c r="E84"/>
      <c r="F84"/>
      <c r="G84"/>
    </row>
    <row r="85" spans="4:7">
      <c r="D85"/>
      <c r="E85"/>
      <c r="F85"/>
      <c r="G85"/>
    </row>
    <row r="86" spans="4:7">
      <c r="D86"/>
      <c r="E86"/>
      <c r="F86"/>
      <c r="G86"/>
    </row>
    <row r="87" spans="4:7">
      <c r="D87"/>
      <c r="E87"/>
      <c r="F87"/>
      <c r="G87"/>
    </row>
    <row r="88" spans="4:7">
      <c r="D88"/>
      <c r="E88"/>
      <c r="F88"/>
      <c r="G88"/>
    </row>
    <row r="89" spans="4:7">
      <c r="D89"/>
      <c r="E89"/>
      <c r="F89"/>
      <c r="G89"/>
    </row>
    <row r="90" spans="4:7">
      <c r="D90"/>
      <c r="E90"/>
      <c r="F90"/>
      <c r="G90"/>
    </row>
    <row r="91" spans="4:7">
      <c r="D91"/>
      <c r="E91"/>
      <c r="F91"/>
      <c r="G91"/>
    </row>
    <row r="92" spans="4:7">
      <c r="D92"/>
      <c r="E92"/>
      <c r="F92"/>
      <c r="G92"/>
    </row>
    <row r="93" spans="4:7">
      <c r="D93"/>
      <c r="E93"/>
      <c r="F93"/>
      <c r="G93"/>
    </row>
    <row r="94" spans="4:7">
      <c r="D94"/>
      <c r="E94"/>
      <c r="F94"/>
      <c r="G94"/>
    </row>
    <row r="95" spans="4:7">
      <c r="D95"/>
      <c r="E95"/>
      <c r="F95"/>
      <c r="G95"/>
    </row>
    <row r="96" spans="4:7">
      <c r="D96"/>
      <c r="E96"/>
      <c r="F96"/>
      <c r="G96"/>
    </row>
    <row r="97" spans="4:7">
      <c r="D97"/>
      <c r="E97"/>
      <c r="F97"/>
      <c r="G97"/>
    </row>
    <row r="98" spans="4:7">
      <c r="D98"/>
      <c r="E98"/>
      <c r="F98"/>
      <c r="G98"/>
    </row>
    <row r="99" spans="4:7">
      <c r="D99"/>
      <c r="E99"/>
      <c r="F99"/>
      <c r="G99"/>
    </row>
    <row r="100" spans="4:7">
      <c r="D100"/>
      <c r="E100"/>
      <c r="F100"/>
      <c r="G100"/>
    </row>
    <row r="101" spans="4:7">
      <c r="D101"/>
      <c r="E101"/>
      <c r="F101"/>
      <c r="G101"/>
    </row>
    <row r="102" spans="4:7">
      <c r="D102"/>
      <c r="E102"/>
      <c r="F102"/>
      <c r="G102"/>
    </row>
    <row r="103" spans="4:7">
      <c r="D103"/>
      <c r="E103"/>
      <c r="F103"/>
      <c r="G103"/>
    </row>
    <row r="104" spans="4:7">
      <c r="D104"/>
      <c r="E104"/>
      <c r="F104"/>
      <c r="G104"/>
    </row>
    <row r="105" spans="4:7">
      <c r="D105"/>
      <c r="E105"/>
      <c r="F105"/>
      <c r="G105"/>
    </row>
    <row r="106" spans="4:7">
      <c r="D106"/>
      <c r="E106"/>
      <c r="F106"/>
      <c r="G106"/>
    </row>
    <row r="107" spans="4:7">
      <c r="D107"/>
      <c r="E107"/>
      <c r="F107"/>
      <c r="G107"/>
    </row>
    <row r="108" spans="4:7">
      <c r="D108"/>
      <c r="E108"/>
      <c r="F108"/>
      <c r="G108"/>
    </row>
    <row r="109" spans="4:7">
      <c r="D109"/>
      <c r="E109"/>
      <c r="F109"/>
      <c r="G109"/>
    </row>
    <row r="110" spans="4:7">
      <c r="D110"/>
      <c r="E110"/>
      <c r="F110"/>
      <c r="G110"/>
    </row>
    <row r="111" spans="4:7">
      <c r="D111"/>
      <c r="E111"/>
      <c r="F111"/>
      <c r="G111"/>
    </row>
    <row r="112" spans="4:7">
      <c r="D112"/>
      <c r="E112"/>
      <c r="F112"/>
      <c r="G112"/>
    </row>
    <row r="113" spans="4:7">
      <c r="D113"/>
      <c r="E113"/>
      <c r="F113"/>
      <c r="G113"/>
    </row>
    <row r="114" spans="4:7">
      <c r="D114"/>
      <c r="E114"/>
      <c r="F114"/>
      <c r="G114"/>
    </row>
    <row r="115" spans="4:7">
      <c r="D115"/>
      <c r="E115"/>
      <c r="F115"/>
      <c r="G115"/>
    </row>
    <row r="116" spans="4:7">
      <c r="D116"/>
      <c r="E116"/>
      <c r="F116"/>
      <c r="G116"/>
    </row>
  </sheetData>
  <mergeCells count="14">
    <mergeCell ref="A1:G1"/>
    <mergeCell ref="A2:G2"/>
    <mergeCell ref="A12:A13"/>
    <mergeCell ref="A23:F23"/>
    <mergeCell ref="A34:F34"/>
    <mergeCell ref="B31:F31"/>
    <mergeCell ref="B32:D32"/>
    <mergeCell ref="B33:D33"/>
    <mergeCell ref="B4:G4"/>
    <mergeCell ref="A5:G5"/>
    <mergeCell ref="A15:F15"/>
    <mergeCell ref="A20:F20"/>
    <mergeCell ref="A25:F25"/>
    <mergeCell ref="A29:F29"/>
  </mergeCells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="130" zoomScaleNormal="130" workbookViewId="0">
      <selection activeCell="E25" sqref="E25:E28"/>
    </sheetView>
  </sheetViews>
  <sheetFormatPr defaultRowHeight="12.75"/>
  <cols>
    <col min="1" max="1" width="6.85546875" customWidth="1"/>
    <col min="2" max="2" width="33.7109375" customWidth="1"/>
    <col min="3" max="3" width="20.140625" customWidth="1"/>
    <col min="6" max="6" width="14.85546875" customWidth="1"/>
  </cols>
  <sheetData>
    <row r="1" spans="1:13">
      <c r="A1" s="174" t="s">
        <v>43</v>
      </c>
      <c r="B1" s="174"/>
      <c r="C1" s="174"/>
      <c r="D1" s="174"/>
      <c r="E1" s="174"/>
      <c r="F1" s="174"/>
      <c r="G1" s="174"/>
    </row>
    <row r="2" spans="1:13">
      <c r="A2" s="175" t="s">
        <v>261</v>
      </c>
      <c r="B2" s="176"/>
      <c r="C2" s="176"/>
      <c r="D2" s="176"/>
      <c r="E2" s="176"/>
      <c r="F2" s="176"/>
      <c r="G2" s="176"/>
    </row>
    <row r="3" spans="1:13">
      <c r="D3" s="3"/>
      <c r="E3" s="3"/>
      <c r="F3" s="3"/>
      <c r="G3" s="3"/>
    </row>
    <row r="4" spans="1:13">
      <c r="A4" s="129" t="s">
        <v>262</v>
      </c>
      <c r="B4" s="182" t="s">
        <v>267</v>
      </c>
      <c r="C4" s="183"/>
      <c r="D4" s="183"/>
      <c r="E4" s="183"/>
      <c r="F4" s="183"/>
      <c r="G4" s="183"/>
    </row>
    <row r="5" spans="1:13">
      <c r="A5" s="184" t="s">
        <v>268</v>
      </c>
      <c r="B5" s="185"/>
      <c r="C5" s="185"/>
      <c r="D5" s="185"/>
      <c r="E5" s="185"/>
      <c r="F5" s="185"/>
      <c r="G5" s="185"/>
    </row>
    <row r="6" spans="1:13">
      <c r="A6" s="169" t="s">
        <v>269</v>
      </c>
      <c r="D6" s="3"/>
      <c r="E6" s="3"/>
      <c r="F6" s="3"/>
      <c r="G6" s="3"/>
    </row>
    <row r="7" spans="1:13">
      <c r="A7" s="129" t="s">
        <v>256</v>
      </c>
      <c r="B7" s="129"/>
      <c r="C7" s="129"/>
      <c r="D7" s="129"/>
      <c r="E7" s="129"/>
      <c r="F7" s="129"/>
      <c r="G7" s="129"/>
    </row>
    <row r="8" spans="1:13">
      <c r="A8" s="129" t="s">
        <v>257</v>
      </c>
      <c r="B8" s="129"/>
      <c r="C8" s="129"/>
      <c r="D8" s="129"/>
      <c r="E8" s="129"/>
      <c r="F8" s="129"/>
      <c r="G8" s="129"/>
    </row>
    <row r="9" spans="1:13" ht="13.5" thickBot="1"/>
    <row r="10" spans="1:13" ht="41.1" customHeight="1" thickBot="1">
      <c r="A10" s="115" t="s">
        <v>1</v>
      </c>
      <c r="B10" s="116" t="s">
        <v>140</v>
      </c>
      <c r="C10" s="117" t="s">
        <v>141</v>
      </c>
      <c r="D10" s="118" t="s">
        <v>4</v>
      </c>
      <c r="E10" s="118" t="s">
        <v>142</v>
      </c>
      <c r="F10" s="118" t="s">
        <v>143</v>
      </c>
    </row>
    <row r="11" spans="1:13" ht="21" customHeight="1">
      <c r="A11" s="187">
        <v>1</v>
      </c>
      <c r="B11" s="119" t="s">
        <v>144</v>
      </c>
      <c r="C11" s="189" t="s">
        <v>265</v>
      </c>
      <c r="D11" s="186">
        <v>1.66</v>
      </c>
      <c r="E11" s="192">
        <v>3178</v>
      </c>
      <c r="F11" s="195">
        <f>D11*E11</f>
        <v>5275.48</v>
      </c>
    </row>
    <row r="12" spans="1:13">
      <c r="A12" s="187"/>
      <c r="B12" s="119" t="s">
        <v>145</v>
      </c>
      <c r="C12" s="190"/>
      <c r="D12" s="187"/>
      <c r="E12" s="193"/>
      <c r="F12" s="196"/>
    </row>
    <row r="13" spans="1:13">
      <c r="A13" s="187"/>
      <c r="B13" s="119" t="s">
        <v>263</v>
      </c>
      <c r="C13" s="190"/>
      <c r="D13" s="187"/>
      <c r="E13" s="193"/>
      <c r="F13" s="196"/>
    </row>
    <row r="14" spans="1:13">
      <c r="A14" s="187"/>
      <c r="B14" s="119" t="s">
        <v>146</v>
      </c>
      <c r="C14" s="190"/>
      <c r="D14" s="187"/>
      <c r="E14" s="193"/>
      <c r="F14" s="196"/>
    </row>
    <row r="15" spans="1:13" ht="31.5" customHeight="1">
      <c r="A15" s="187"/>
      <c r="B15" s="119" t="s">
        <v>147</v>
      </c>
      <c r="C15" s="190"/>
      <c r="D15" s="187"/>
      <c r="E15" s="193"/>
      <c r="F15" s="196"/>
      <c r="M15" s="128"/>
    </row>
    <row r="16" spans="1:13" ht="45.75" thickBot="1">
      <c r="A16" s="123"/>
      <c r="B16" s="126" t="s">
        <v>264</v>
      </c>
      <c r="C16" s="124" t="s">
        <v>266</v>
      </c>
      <c r="D16" s="120">
        <v>1.66</v>
      </c>
      <c r="E16" s="120">
        <v>1501</v>
      </c>
      <c r="F16" s="165">
        <f>D16*E16</f>
        <v>2491.66</v>
      </c>
    </row>
    <row r="17" spans="1:6" ht="22.5" customHeight="1">
      <c r="A17" s="186">
        <v>2</v>
      </c>
      <c r="B17" s="125" t="s">
        <v>148</v>
      </c>
      <c r="C17" s="189" t="s">
        <v>150</v>
      </c>
      <c r="D17" s="186">
        <v>3</v>
      </c>
      <c r="E17" s="186">
        <v>480</v>
      </c>
      <c r="F17" s="192">
        <f>D17*E17</f>
        <v>1440</v>
      </c>
    </row>
    <row r="18" spans="1:6">
      <c r="A18" s="187"/>
      <c r="B18" s="121"/>
      <c r="C18" s="190"/>
      <c r="D18" s="187"/>
      <c r="E18" s="187"/>
      <c r="F18" s="193"/>
    </row>
    <row r="19" spans="1:6">
      <c r="A19" s="187"/>
      <c r="B19" s="121"/>
      <c r="C19" s="190"/>
      <c r="D19" s="187"/>
      <c r="E19" s="187"/>
      <c r="F19" s="193"/>
    </row>
    <row r="20" spans="1:6" ht="5.0999999999999996" customHeight="1" thickBot="1">
      <c r="A20" s="188"/>
      <c r="B20" s="126" t="s">
        <v>149</v>
      </c>
      <c r="C20" s="191"/>
      <c r="D20" s="188"/>
      <c r="E20" s="188"/>
      <c r="F20" s="194"/>
    </row>
    <row r="21" spans="1:6" ht="15" customHeight="1">
      <c r="A21" s="186">
        <v>5</v>
      </c>
      <c r="B21" s="125" t="s">
        <v>151</v>
      </c>
      <c r="C21" s="189" t="s">
        <v>152</v>
      </c>
      <c r="D21" s="186">
        <v>1</v>
      </c>
      <c r="E21" s="186">
        <v>551</v>
      </c>
      <c r="F21" s="186">
        <f>D21*E21</f>
        <v>551</v>
      </c>
    </row>
    <row r="22" spans="1:6">
      <c r="A22" s="187"/>
      <c r="B22" s="121"/>
      <c r="C22" s="190"/>
      <c r="D22" s="187"/>
      <c r="E22" s="187"/>
      <c r="F22" s="187"/>
    </row>
    <row r="23" spans="1:6">
      <c r="A23" s="187"/>
      <c r="B23" s="121"/>
      <c r="C23" s="190"/>
      <c r="D23" s="187"/>
      <c r="E23" s="187"/>
      <c r="F23" s="187"/>
    </row>
    <row r="24" spans="1:6" ht="6.6" customHeight="1" thickBot="1">
      <c r="A24" s="188"/>
      <c r="B24" s="126" t="s">
        <v>149</v>
      </c>
      <c r="C24" s="191"/>
      <c r="D24" s="188"/>
      <c r="E24" s="188"/>
      <c r="F24" s="188"/>
    </row>
    <row r="25" spans="1:6" ht="15" customHeight="1">
      <c r="A25" s="186">
        <v>6</v>
      </c>
      <c r="B25" s="125" t="s">
        <v>153</v>
      </c>
      <c r="C25" s="189" t="s">
        <v>251</v>
      </c>
      <c r="D25" s="186">
        <v>1</v>
      </c>
      <c r="E25" s="186">
        <v>288</v>
      </c>
      <c r="F25" s="186">
        <f>D25*E25</f>
        <v>288</v>
      </c>
    </row>
    <row r="26" spans="1:6">
      <c r="A26" s="187"/>
      <c r="B26" s="121"/>
      <c r="C26" s="190"/>
      <c r="D26" s="187"/>
      <c r="E26" s="187"/>
      <c r="F26" s="187"/>
    </row>
    <row r="27" spans="1:6">
      <c r="A27" s="187"/>
      <c r="B27" s="121"/>
      <c r="C27" s="190"/>
      <c r="D27" s="187"/>
      <c r="E27" s="187"/>
      <c r="F27" s="187"/>
    </row>
    <row r="28" spans="1:6" ht="13.5" thickBot="1">
      <c r="A28" s="188"/>
      <c r="B28" s="126" t="s">
        <v>149</v>
      </c>
      <c r="C28" s="191"/>
      <c r="D28" s="188"/>
      <c r="E28" s="188"/>
      <c r="F28" s="188"/>
    </row>
    <row r="29" spans="1:6" ht="13.5" thickBot="1">
      <c r="A29" s="123"/>
      <c r="B29" s="126"/>
      <c r="C29" s="207" t="s">
        <v>154</v>
      </c>
      <c r="D29" s="208"/>
      <c r="E29" s="209"/>
      <c r="F29" s="166">
        <f>F11</f>
        <v>5275.48</v>
      </c>
    </row>
    <row r="30" spans="1:6" ht="13.5" thickBot="1">
      <c r="A30" s="123"/>
      <c r="B30" s="126"/>
      <c r="C30" s="207" t="s">
        <v>155</v>
      </c>
      <c r="D30" s="208"/>
      <c r="E30" s="209"/>
      <c r="F30" s="122">
        <f>F16+F17+F21+F25</f>
        <v>4770.66</v>
      </c>
    </row>
    <row r="31" spans="1:6" ht="12.6" customHeight="1">
      <c r="A31" s="186">
        <v>7</v>
      </c>
      <c r="B31" s="125" t="s">
        <v>156</v>
      </c>
      <c r="C31" s="197" t="s">
        <v>158</v>
      </c>
      <c r="D31" s="198"/>
      <c r="E31" s="199"/>
      <c r="F31" s="195">
        <f>F29*0.25</f>
        <v>1318.87</v>
      </c>
    </row>
    <row r="32" spans="1:6">
      <c r="A32" s="187"/>
      <c r="B32" s="125" t="s">
        <v>157</v>
      </c>
      <c r="C32" s="200" t="s">
        <v>252</v>
      </c>
      <c r="D32" s="201"/>
      <c r="E32" s="202"/>
      <c r="F32" s="196"/>
    </row>
    <row r="33" spans="1:8">
      <c r="A33" s="187"/>
      <c r="B33" s="121"/>
      <c r="C33" s="214"/>
      <c r="D33" s="215"/>
      <c r="E33" s="216"/>
      <c r="F33" s="196"/>
    </row>
    <row r="34" spans="1:8" ht="13.5" thickBot="1">
      <c r="A34" s="188"/>
      <c r="B34" s="126" t="s">
        <v>149</v>
      </c>
      <c r="C34" s="217"/>
      <c r="D34" s="218"/>
      <c r="E34" s="219"/>
      <c r="F34" s="206"/>
    </row>
    <row r="35" spans="1:8" ht="12.6" customHeight="1">
      <c r="A35" s="186">
        <v>8</v>
      </c>
      <c r="B35" s="125" t="s">
        <v>159</v>
      </c>
      <c r="C35" s="197" t="s">
        <v>253</v>
      </c>
      <c r="D35" s="198"/>
      <c r="E35" s="199"/>
      <c r="F35" s="195">
        <f>(F31+F29)*0.06*2.5</f>
        <v>989.15249999999992</v>
      </c>
    </row>
    <row r="36" spans="1:8" ht="26.1" customHeight="1">
      <c r="A36" s="187"/>
      <c r="B36" s="125" t="s">
        <v>160</v>
      </c>
      <c r="C36" s="200"/>
      <c r="D36" s="201"/>
      <c r="E36" s="202"/>
      <c r="F36" s="196"/>
      <c r="H36" s="6"/>
    </row>
    <row r="37" spans="1:8" ht="6.6" customHeight="1">
      <c r="A37" s="187"/>
      <c r="B37" s="121"/>
      <c r="C37" s="200"/>
      <c r="D37" s="201"/>
      <c r="E37" s="202"/>
      <c r="F37" s="196"/>
    </row>
    <row r="38" spans="1:8" ht="9" customHeight="1" thickBot="1">
      <c r="A38" s="188"/>
      <c r="B38" s="126" t="s">
        <v>149</v>
      </c>
      <c r="C38" s="203"/>
      <c r="D38" s="204"/>
      <c r="E38" s="205"/>
      <c r="F38" s="206"/>
    </row>
    <row r="39" spans="1:8" ht="13.5" thickBot="1">
      <c r="A39" s="123"/>
      <c r="B39" s="127"/>
      <c r="C39" s="207" t="s">
        <v>161</v>
      </c>
      <c r="D39" s="208"/>
      <c r="E39" s="209"/>
      <c r="F39" s="122">
        <f>F29+F30+F31+F35</f>
        <v>12354.162499999999</v>
      </c>
    </row>
    <row r="40" spans="1:8" ht="13.5" thickBot="1">
      <c r="A40" s="123">
        <v>9</v>
      </c>
      <c r="B40" s="210" t="s">
        <v>162</v>
      </c>
      <c r="C40" s="211"/>
      <c r="D40" s="212" t="s">
        <v>254</v>
      </c>
      <c r="E40" s="213"/>
      <c r="F40" s="122">
        <f>F39*1.8</f>
        <v>22237.492499999997</v>
      </c>
    </row>
    <row r="41" spans="1:8" ht="13.5" thickBot="1">
      <c r="A41" s="123">
        <v>10</v>
      </c>
      <c r="B41" s="210" t="s">
        <v>163</v>
      </c>
      <c r="C41" s="211"/>
      <c r="D41" s="212" t="s">
        <v>255</v>
      </c>
      <c r="E41" s="213"/>
      <c r="F41" s="122">
        <f>F40*1.08</f>
        <v>24016.491899999997</v>
      </c>
    </row>
    <row r="42" spans="1:8" ht="52.5" customHeight="1" thickBot="1">
      <c r="A42" s="123">
        <v>11</v>
      </c>
      <c r="B42" s="210" t="s">
        <v>246</v>
      </c>
      <c r="C42" s="211"/>
      <c r="D42" s="212" t="s">
        <v>245</v>
      </c>
      <c r="E42" s="213"/>
      <c r="F42" s="122">
        <f>F41*4.35</f>
        <v>104471.73976499998</v>
      </c>
    </row>
    <row r="43" spans="1:8" ht="12.95" customHeight="1" thickBot="1">
      <c r="A43" s="207" t="s">
        <v>164</v>
      </c>
      <c r="B43" s="208"/>
      <c r="C43" s="208"/>
      <c r="D43" s="208"/>
      <c r="E43" s="209"/>
      <c r="F43" s="122">
        <f>F42</f>
        <v>104471.73976499998</v>
      </c>
    </row>
    <row r="44" spans="1:8">
      <c r="A44" t="s">
        <v>118</v>
      </c>
      <c r="B44" t="str">
        <f>'Формула числа прописью (2)'!B3</f>
        <v>Сто четыре тысячи четыреста семьдесят восемь рублей 00 коп.</v>
      </c>
    </row>
    <row r="46" spans="1:8">
      <c r="A46" s="130" t="s">
        <v>123</v>
      </c>
      <c r="B46" s="8"/>
      <c r="C46" s="8"/>
      <c r="D46" s="8"/>
      <c r="E46" s="8"/>
      <c r="F46" s="130" t="s">
        <v>167</v>
      </c>
      <c r="G46" s="8"/>
    </row>
    <row r="47" spans="1:8">
      <c r="D47" s="3"/>
      <c r="E47" s="3"/>
      <c r="F47" s="3"/>
      <c r="G47" s="3"/>
    </row>
    <row r="48" spans="1:8">
      <c r="A48" s="4" t="s">
        <v>61</v>
      </c>
      <c r="D48" s="3"/>
      <c r="E48" s="3"/>
      <c r="F48" s="5" t="s">
        <v>62</v>
      </c>
      <c r="G48" s="3"/>
    </row>
    <row r="49" spans="1:7">
      <c r="A49" s="7"/>
      <c r="D49" s="3"/>
      <c r="E49" s="3"/>
      <c r="F49" s="10" t="s">
        <v>63</v>
      </c>
      <c r="G49" s="3"/>
    </row>
  </sheetData>
  <mergeCells count="43">
    <mergeCell ref="B41:C41"/>
    <mergeCell ref="D41:E41"/>
    <mergeCell ref="B42:C42"/>
    <mergeCell ref="D42:E42"/>
    <mergeCell ref="A43:E43"/>
    <mergeCell ref="A1:G1"/>
    <mergeCell ref="A2:G2"/>
    <mergeCell ref="B4:G4"/>
    <mergeCell ref="A5:G5"/>
    <mergeCell ref="F31:F34"/>
    <mergeCell ref="C29:E29"/>
    <mergeCell ref="C30:E30"/>
    <mergeCell ref="A31:A34"/>
    <mergeCell ref="C31:E31"/>
    <mergeCell ref="C32:E32"/>
    <mergeCell ref="C33:E33"/>
    <mergeCell ref="C34:E34"/>
    <mergeCell ref="A21:A24"/>
    <mergeCell ref="C21:C24"/>
    <mergeCell ref="D21:D24"/>
    <mergeCell ref="E21:E24"/>
    <mergeCell ref="A35:A38"/>
    <mergeCell ref="C35:E38"/>
    <mergeCell ref="F35:F38"/>
    <mergeCell ref="C39:E39"/>
    <mergeCell ref="B40:C40"/>
    <mergeCell ref="D40:E40"/>
    <mergeCell ref="F21:F24"/>
    <mergeCell ref="A25:A28"/>
    <mergeCell ref="C25:C28"/>
    <mergeCell ref="D25:D28"/>
    <mergeCell ref="E25:E28"/>
    <mergeCell ref="F25:F28"/>
    <mergeCell ref="A11:A15"/>
    <mergeCell ref="C11:C15"/>
    <mergeCell ref="D11:D15"/>
    <mergeCell ref="E11:E15"/>
    <mergeCell ref="F11:F15"/>
    <mergeCell ref="A17:A20"/>
    <mergeCell ref="C17:C20"/>
    <mergeCell ref="D17:D20"/>
    <mergeCell ref="E17:E20"/>
    <mergeCell ref="F17:F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22" workbookViewId="0">
      <selection activeCell="G37" sqref="G37"/>
    </sheetView>
  </sheetViews>
  <sheetFormatPr defaultRowHeight="12.75"/>
  <cols>
    <col min="2" max="2" width="50.85546875" customWidth="1"/>
    <col min="4" max="4" width="14.85546875" customWidth="1"/>
    <col min="5" max="5" width="17" customWidth="1"/>
    <col min="6" max="6" width="14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237</v>
      </c>
      <c r="B2" s="176"/>
      <c r="C2" s="176"/>
      <c r="D2" s="176"/>
      <c r="E2" s="176"/>
      <c r="F2" s="176"/>
      <c r="G2" s="176"/>
    </row>
    <row r="3" spans="1:7">
      <c r="D3" s="3"/>
      <c r="E3" s="3"/>
      <c r="F3" s="3"/>
      <c r="G3" s="3"/>
    </row>
    <row r="4" spans="1:7">
      <c r="A4" s="2" t="s">
        <v>0</v>
      </c>
      <c r="B4" s="183" t="s">
        <v>122</v>
      </c>
      <c r="C4" s="183"/>
      <c r="D4" s="183"/>
      <c r="E4" s="183"/>
      <c r="F4" s="183"/>
      <c r="G4" s="183"/>
    </row>
    <row r="5" spans="1:7">
      <c r="A5" s="185" t="s">
        <v>250</v>
      </c>
      <c r="B5" s="185"/>
      <c r="C5" s="185"/>
      <c r="D5" s="185"/>
      <c r="E5" s="185"/>
      <c r="F5" s="185"/>
      <c r="G5" s="185"/>
    </row>
    <row r="6" spans="1:7">
      <c r="A6" s="1"/>
      <c r="D6" s="3"/>
      <c r="E6" s="3"/>
      <c r="F6" s="3"/>
      <c r="G6" s="3"/>
    </row>
    <row r="7" spans="1:7">
      <c r="A7" s="129" t="s">
        <v>165</v>
      </c>
      <c r="B7" s="100"/>
      <c r="D7" s="3"/>
      <c r="E7" s="3"/>
      <c r="F7" s="3"/>
      <c r="G7" s="3"/>
    </row>
    <row r="8" spans="1:7">
      <c r="A8" s="129" t="s">
        <v>166</v>
      </c>
      <c r="B8" s="100"/>
      <c r="D8" s="3"/>
      <c r="E8" s="3"/>
      <c r="F8" s="3"/>
      <c r="G8" s="3"/>
    </row>
    <row r="9" spans="1:7" ht="13.5" thickBot="1"/>
    <row r="10" spans="1:7" ht="21.95" customHeight="1">
      <c r="A10" s="131" t="s">
        <v>169</v>
      </c>
      <c r="B10" s="225" t="s">
        <v>2</v>
      </c>
      <c r="C10" s="225" t="s">
        <v>171</v>
      </c>
      <c r="D10" s="225" t="s">
        <v>172</v>
      </c>
      <c r="E10" s="225" t="s">
        <v>173</v>
      </c>
      <c r="F10" s="225" t="s">
        <v>174</v>
      </c>
    </row>
    <row r="11" spans="1:7" ht="21.95" customHeight="1" thickBot="1">
      <c r="A11" s="132" t="s">
        <v>170</v>
      </c>
      <c r="B11" s="226"/>
      <c r="C11" s="226"/>
      <c r="D11" s="226"/>
      <c r="E11" s="226"/>
      <c r="F11" s="226"/>
    </row>
    <row r="12" spans="1:7" ht="30.6" customHeight="1" thickBot="1">
      <c r="A12" s="133">
        <v>1</v>
      </c>
      <c r="B12" s="134" t="s">
        <v>175</v>
      </c>
      <c r="C12" s="134" t="s">
        <v>176</v>
      </c>
      <c r="D12" s="134" t="s">
        <v>177</v>
      </c>
      <c r="E12" s="134" t="s">
        <v>178</v>
      </c>
      <c r="F12" s="134" t="s">
        <v>179</v>
      </c>
    </row>
    <row r="13" spans="1:7" ht="21.95" customHeight="1" thickBot="1">
      <c r="A13" s="135">
        <v>43831</v>
      </c>
      <c r="B13" s="134" t="s">
        <v>180</v>
      </c>
      <c r="C13" s="134" t="s">
        <v>176</v>
      </c>
      <c r="D13" s="134" t="s">
        <v>181</v>
      </c>
      <c r="E13" s="134" t="s">
        <v>182</v>
      </c>
      <c r="F13" s="136">
        <v>43932</v>
      </c>
    </row>
    <row r="14" spans="1:7" ht="21.95" customHeight="1" thickBot="1">
      <c r="A14" s="132" t="s">
        <v>183</v>
      </c>
      <c r="B14" s="137" t="s">
        <v>184</v>
      </c>
      <c r="C14" s="137">
        <v>1</v>
      </c>
      <c r="D14" s="137" t="s">
        <v>176</v>
      </c>
      <c r="E14" s="137" t="s">
        <v>185</v>
      </c>
      <c r="F14" s="138">
        <v>22037</v>
      </c>
    </row>
    <row r="15" spans="1:7" ht="21.95" customHeight="1" thickBot="1">
      <c r="A15" s="132" t="s">
        <v>186</v>
      </c>
      <c r="B15" s="137" t="s">
        <v>187</v>
      </c>
      <c r="C15" s="137">
        <v>5</v>
      </c>
      <c r="D15" s="137" t="s">
        <v>176</v>
      </c>
      <c r="E15" s="137" t="s">
        <v>188</v>
      </c>
      <c r="F15" s="138">
        <v>16193</v>
      </c>
    </row>
    <row r="16" spans="1:7" ht="21.95" customHeight="1" thickBot="1">
      <c r="A16" s="135">
        <v>43862</v>
      </c>
      <c r="B16" s="134" t="s">
        <v>189</v>
      </c>
      <c r="C16" s="134" t="s">
        <v>176</v>
      </c>
      <c r="D16" s="134" t="s">
        <v>190</v>
      </c>
      <c r="E16" s="134" t="s">
        <v>191</v>
      </c>
      <c r="F16" s="134" t="s">
        <v>192</v>
      </c>
    </row>
    <row r="17" spans="1:6" ht="21.95" customHeight="1" thickBot="1">
      <c r="A17" s="132" t="s">
        <v>183</v>
      </c>
      <c r="B17" s="137" t="s">
        <v>193</v>
      </c>
      <c r="C17" s="137">
        <v>2</v>
      </c>
      <c r="D17" s="137" t="s">
        <v>176</v>
      </c>
      <c r="E17" s="137" t="s">
        <v>194</v>
      </c>
      <c r="F17" s="137" t="s">
        <v>192</v>
      </c>
    </row>
    <row r="18" spans="1:6" ht="21.95" customHeight="1" thickBot="1">
      <c r="A18" s="135">
        <v>43891</v>
      </c>
      <c r="B18" s="134" t="s">
        <v>195</v>
      </c>
      <c r="C18" s="134"/>
      <c r="D18" s="134" t="s">
        <v>196</v>
      </c>
      <c r="E18" s="134" t="s">
        <v>197</v>
      </c>
      <c r="F18" s="139">
        <v>32964</v>
      </c>
    </row>
    <row r="19" spans="1:6" ht="21.95" customHeight="1" thickBot="1">
      <c r="A19" s="132" t="s">
        <v>183</v>
      </c>
      <c r="B19" s="137" t="s">
        <v>184</v>
      </c>
      <c r="C19" s="137">
        <v>2</v>
      </c>
      <c r="D19" s="137" t="s">
        <v>176</v>
      </c>
      <c r="E19" s="137" t="s">
        <v>198</v>
      </c>
      <c r="F19" s="138">
        <v>29312</v>
      </c>
    </row>
    <row r="20" spans="1:6" ht="21.95" customHeight="1" thickBot="1">
      <c r="A20" s="132" t="s">
        <v>186</v>
      </c>
      <c r="B20" s="137" t="s">
        <v>199</v>
      </c>
      <c r="C20" s="137" t="s">
        <v>200</v>
      </c>
      <c r="D20" s="137" t="s">
        <v>176</v>
      </c>
      <c r="E20" s="137" t="s">
        <v>201</v>
      </c>
      <c r="F20" s="137" t="s">
        <v>202</v>
      </c>
    </row>
    <row r="21" spans="1:6" ht="30.6" customHeight="1" thickBot="1">
      <c r="A21" s="133">
        <v>2</v>
      </c>
      <c r="B21" s="134" t="s">
        <v>203</v>
      </c>
      <c r="C21" s="134" t="s">
        <v>176</v>
      </c>
      <c r="D21" s="134" t="s">
        <v>204</v>
      </c>
      <c r="E21" s="134" t="s">
        <v>191</v>
      </c>
      <c r="F21" s="134" t="s">
        <v>205</v>
      </c>
    </row>
    <row r="22" spans="1:6" ht="31.5" customHeight="1" thickBot="1">
      <c r="A22" s="132" t="s">
        <v>183</v>
      </c>
      <c r="B22" s="137" t="s">
        <v>206</v>
      </c>
      <c r="C22" s="137">
        <v>2</v>
      </c>
      <c r="D22" s="137" t="s">
        <v>207</v>
      </c>
      <c r="E22" s="137" t="s">
        <v>208</v>
      </c>
      <c r="F22" s="137" t="s">
        <v>205</v>
      </c>
    </row>
    <row r="23" spans="1:6" ht="30" customHeight="1" thickBot="1">
      <c r="A23" s="133">
        <v>3</v>
      </c>
      <c r="B23" s="134" t="s">
        <v>209</v>
      </c>
      <c r="C23" s="134" t="s">
        <v>176</v>
      </c>
      <c r="D23" s="134" t="s">
        <v>210</v>
      </c>
      <c r="E23" s="134" t="s">
        <v>191</v>
      </c>
      <c r="F23" s="139">
        <v>34151</v>
      </c>
    </row>
    <row r="24" spans="1:6" ht="29.45" customHeight="1" thickBot="1">
      <c r="A24" s="132" t="s">
        <v>183</v>
      </c>
      <c r="B24" s="137" t="s">
        <v>211</v>
      </c>
      <c r="C24" s="137">
        <v>13</v>
      </c>
      <c r="D24" s="137" t="s">
        <v>212</v>
      </c>
      <c r="E24" s="137" t="s">
        <v>213</v>
      </c>
      <c r="F24" s="138">
        <v>34151</v>
      </c>
    </row>
    <row r="25" spans="1:6" ht="21.95" customHeight="1" thickBot="1">
      <c r="A25" s="133">
        <v>4</v>
      </c>
      <c r="B25" s="134" t="s">
        <v>214</v>
      </c>
      <c r="C25" s="134" t="s">
        <v>176</v>
      </c>
      <c r="D25" s="134" t="s">
        <v>215</v>
      </c>
      <c r="E25" s="134" t="s">
        <v>191</v>
      </c>
      <c r="F25" s="139">
        <v>44136</v>
      </c>
    </row>
    <row r="26" spans="1:6" ht="21.95" customHeight="1" thickBot="1">
      <c r="A26" s="132" t="s">
        <v>183</v>
      </c>
      <c r="B26" s="137" t="s">
        <v>216</v>
      </c>
      <c r="C26" s="137">
        <v>2</v>
      </c>
      <c r="D26" s="137" t="s">
        <v>176</v>
      </c>
      <c r="E26" s="137" t="s">
        <v>217</v>
      </c>
      <c r="F26" s="137" t="s">
        <v>218</v>
      </c>
    </row>
    <row r="27" spans="1:6" ht="21.95" customHeight="1" thickBot="1">
      <c r="A27" s="132" t="s">
        <v>186</v>
      </c>
      <c r="B27" s="137" t="s">
        <v>219</v>
      </c>
      <c r="C27" s="137">
        <v>2</v>
      </c>
      <c r="D27" s="137" t="s">
        <v>176</v>
      </c>
      <c r="E27" s="137" t="s">
        <v>220</v>
      </c>
      <c r="F27" s="138">
        <v>43891</v>
      </c>
    </row>
    <row r="28" spans="1:6" ht="21.95" customHeight="1" thickBot="1">
      <c r="A28" s="133">
        <v>5</v>
      </c>
      <c r="B28" s="134" t="s">
        <v>221</v>
      </c>
      <c r="C28" s="134" t="s">
        <v>176</v>
      </c>
      <c r="D28" s="134" t="s">
        <v>222</v>
      </c>
      <c r="E28" s="134" t="s">
        <v>191</v>
      </c>
      <c r="F28" s="134" t="s">
        <v>192</v>
      </c>
    </row>
    <row r="29" spans="1:6" ht="21.95" customHeight="1" thickBot="1">
      <c r="A29" s="132" t="s">
        <v>183</v>
      </c>
      <c r="B29" s="137" t="s">
        <v>216</v>
      </c>
      <c r="C29" s="137">
        <v>2</v>
      </c>
      <c r="D29" s="137" t="s">
        <v>176</v>
      </c>
      <c r="E29" s="137" t="s">
        <v>194</v>
      </c>
      <c r="F29" s="137" t="s">
        <v>192</v>
      </c>
    </row>
    <row r="30" spans="1:6" ht="21.95" customHeight="1" thickBot="1">
      <c r="A30" s="132"/>
      <c r="B30" s="134" t="s">
        <v>223</v>
      </c>
      <c r="C30" s="137" t="s">
        <v>176</v>
      </c>
      <c r="D30" s="137" t="s">
        <v>176</v>
      </c>
      <c r="E30" s="134" t="s">
        <v>224</v>
      </c>
      <c r="F30" s="134" t="s">
        <v>225</v>
      </c>
    </row>
    <row r="31" spans="1:6" ht="21.95" customHeight="1">
      <c r="A31" s="227">
        <v>8</v>
      </c>
      <c r="B31" s="228"/>
      <c r="C31" s="228"/>
      <c r="D31" s="229"/>
      <c r="E31" s="230" t="s">
        <v>226</v>
      </c>
      <c r="F31" s="231"/>
    </row>
    <row r="32" spans="1:6">
      <c r="A32" s="223" t="s">
        <v>227</v>
      </c>
      <c r="B32" s="224"/>
      <c r="C32" s="224"/>
      <c r="D32" s="224"/>
      <c r="E32" s="224"/>
      <c r="F32" s="224"/>
    </row>
    <row r="33" spans="1:7">
      <c r="A33" s="220"/>
      <c r="B33" s="221"/>
      <c r="C33" s="221"/>
      <c r="D33" s="221"/>
      <c r="E33" s="221"/>
      <c r="F33" s="221"/>
    </row>
    <row r="34" spans="1:7">
      <c r="A34" s="220" t="s">
        <v>228</v>
      </c>
      <c r="B34" s="221"/>
      <c r="C34" s="221"/>
      <c r="D34" s="221"/>
      <c r="E34" s="221"/>
      <c r="F34" s="221"/>
    </row>
    <row r="35" spans="1:7">
      <c r="A35" s="220"/>
      <c r="B35" s="221"/>
      <c r="C35" s="221"/>
      <c r="D35" s="221"/>
      <c r="E35" s="221"/>
      <c r="F35" s="221"/>
    </row>
    <row r="36" spans="1:7">
      <c r="A36" s="220" t="s">
        <v>229</v>
      </c>
      <c r="B36" s="221"/>
      <c r="C36" s="221"/>
      <c r="D36" s="221"/>
      <c r="E36" s="221"/>
      <c r="F36" s="221"/>
    </row>
    <row r="38" spans="1:7" ht="30">
      <c r="B38" s="140" t="s">
        <v>230</v>
      </c>
      <c r="C38" s="140" t="s">
        <v>231</v>
      </c>
      <c r="D38" s="140" t="s">
        <v>232</v>
      </c>
      <c r="E38" s="140" t="s">
        <v>233</v>
      </c>
    </row>
    <row r="39" spans="1:7" ht="15">
      <c r="B39" s="140" t="s">
        <v>234</v>
      </c>
      <c r="C39" s="140" t="s">
        <v>225</v>
      </c>
      <c r="D39" s="140" t="s">
        <v>235</v>
      </c>
      <c r="E39" s="141">
        <v>4043</v>
      </c>
    </row>
    <row r="40" spans="1:7">
      <c r="B40" s="222" t="s">
        <v>236</v>
      </c>
      <c r="C40" s="222"/>
      <c r="D40" s="222"/>
      <c r="E40" s="222"/>
    </row>
    <row r="42" spans="1:7">
      <c r="A42" s="130" t="s">
        <v>123</v>
      </c>
      <c r="B42" s="8"/>
      <c r="C42" s="8"/>
      <c r="D42" s="8"/>
      <c r="E42" s="8"/>
      <c r="F42" s="130" t="s">
        <v>167</v>
      </c>
      <c r="G42" s="8"/>
    </row>
    <row r="43" spans="1:7">
      <c r="D43" s="3"/>
      <c r="E43" s="3"/>
      <c r="F43" s="3"/>
      <c r="G43" s="3"/>
    </row>
    <row r="44" spans="1:7">
      <c r="A44" s="4" t="s">
        <v>61</v>
      </c>
      <c r="D44" s="3"/>
      <c r="E44" s="3"/>
      <c r="F44" s="5" t="s">
        <v>62</v>
      </c>
      <c r="G44" s="3"/>
    </row>
    <row r="45" spans="1:7">
      <c r="A45" s="7"/>
      <c r="D45" s="3"/>
      <c r="E45" s="3"/>
      <c r="F45" s="10" t="s">
        <v>63</v>
      </c>
      <c r="G45" s="3"/>
    </row>
  </sheetData>
  <mergeCells count="17">
    <mergeCell ref="A1:G1"/>
    <mergeCell ref="A2:G2"/>
    <mergeCell ref="B4:G4"/>
    <mergeCell ref="A5:G5"/>
    <mergeCell ref="A32:F32"/>
    <mergeCell ref="B10:B11"/>
    <mergeCell ref="C10:C11"/>
    <mergeCell ref="D10:D11"/>
    <mergeCell ref="E10:E11"/>
    <mergeCell ref="F10:F11"/>
    <mergeCell ref="A31:D31"/>
    <mergeCell ref="E31:F31"/>
    <mergeCell ref="A33:F33"/>
    <mergeCell ref="A34:F34"/>
    <mergeCell ref="A35:F35"/>
    <mergeCell ref="A36:F36"/>
    <mergeCell ref="B40:E4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B30" sqref="B30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ГЕОДЕЗИЯ'!F43</f>
        <v>104471.73976499998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Сто четыре тысячи четыреста семьдесят восемь рублей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44414</v>
      </c>
      <c r="O3" s="235"/>
      <c r="P3" s="20">
        <f ca="1">DAY(N3)</f>
        <v>6</v>
      </c>
      <c r="Q3" s="22" t="str">
        <f ca="1">IF(Q4&gt;7,S3,S4)</f>
        <v>августа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августа</v>
      </c>
    </row>
    <row r="4" spans="1:19">
      <c r="A4" s="16" t="s">
        <v>72</v>
      </c>
      <c r="B4" s="25" t="str">
        <f>SUBSTITUTE(B6,F9,F10,1)</f>
        <v>Сто четыре тысячи четыреста семьдесят восемь рублей 00 коп. (в т.ч. НДС - 357.79)</v>
      </c>
      <c r="H4" s="19"/>
      <c r="I4" s="19"/>
      <c r="J4" s="19"/>
      <c r="K4" s="236" t="str">
        <f ca="1">CONCATENATE(" «  ",P3,"  »  ",Q3,"  ",R3," г.")</f>
        <v xml:space="preserve"> «  6  »  августа  2021 г.</v>
      </c>
      <c r="L4" s="236"/>
      <c r="M4" s="236"/>
      <c r="N4" s="147"/>
      <c r="O4" s="147"/>
      <c r="P4" s="19"/>
      <c r="Q4" s="22">
        <f ca="1">MONTH(N3)</f>
        <v>8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брать не отсюда</v>
      </c>
    </row>
    <row r="5" spans="1:19">
      <c r="A5" s="27" t="s">
        <v>73</v>
      </c>
      <c r="B5" s="25" t="str">
        <f>CONCATENATE(A8,A9,A10,A11,A12)</f>
        <v>сто четыре тысячи четыреста семьдесят восемь рублей 00 коп.</v>
      </c>
    </row>
    <row r="6" spans="1:19" s="25" customFormat="1">
      <c r="A6" s="27" t="s">
        <v>74</v>
      </c>
      <c r="B6" s="25" t="str">
        <f>CONCATENATE(A8,A9,A10,A11,A12,B8,B9,C9)</f>
        <v>сто четыре тысячи четыреста семьдесят восемь рублей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сто четыре тысячи </v>
      </c>
      <c r="D10" s="145"/>
      <c r="E10" s="38"/>
      <c r="F10" s="31" t="str">
        <f>PROPER(F9)</f>
        <v>С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четыреста семьдесят восемь рублей </v>
      </c>
      <c r="D11" s="145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145"/>
      <c r="E12" s="38"/>
      <c r="M12" s="40">
        <f ca="1">TODAY()</f>
        <v>44414</v>
      </c>
    </row>
    <row r="13" spans="1:19" s="33" customFormat="1">
      <c r="A13" s="39"/>
      <c r="D13" s="41"/>
      <c r="E13" s="42">
        <f>'смета ГЕОДЕЗИЯ'!F43</f>
        <v>104471.73976499998</v>
      </c>
      <c r="F13" s="41" t="s">
        <v>78</v>
      </c>
      <c r="H13" s="145"/>
      <c r="M13" s="43"/>
    </row>
    <row r="14" spans="1:19" s="33" customFormat="1">
      <c r="A14" s="44">
        <f>TRUNC(A15/10)</f>
        <v>0</v>
      </c>
      <c r="B14" s="145"/>
      <c r="C14" s="41"/>
      <c r="H14" s="145"/>
    </row>
    <row r="15" spans="1:19" s="33" customFormat="1">
      <c r="A15" s="44">
        <f>TRUNC(A16/10)</f>
        <v>0</v>
      </c>
      <c r="B15" s="145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145"/>
    </row>
    <row r="16" spans="1:19" s="33" customFormat="1">
      <c r="A16" s="44">
        <f>TRUNC(A17/10)</f>
        <v>0</v>
      </c>
      <c r="B16" s="145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145"/>
    </row>
    <row r="17" spans="1:9" s="33" customFormat="1">
      <c r="A17" s="44">
        <f>TRUNC(A19/10)</f>
        <v>0</v>
      </c>
      <c r="B17" s="145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145"/>
    </row>
    <row r="18" spans="1:9" s="33" customFormat="1">
      <c r="A18" s="44"/>
      <c r="B18" s="145"/>
      <c r="D18" s="145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145"/>
    </row>
    <row r="19" spans="1:9" s="33" customFormat="1">
      <c r="A19" s="44">
        <f>TRUNC(A20/10)</f>
        <v>0</v>
      </c>
      <c r="B19" s="145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145"/>
    </row>
    <row r="20" spans="1:9">
      <c r="A20" s="44">
        <f>TRUNC(A21/10)</f>
        <v>0</v>
      </c>
      <c r="B20" s="145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145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145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1</v>
      </c>
      <c r="B23" s="145">
        <f>TRUNC(RIGHT(A23))</f>
        <v>1</v>
      </c>
      <c r="C23" s="41">
        <f>B23</f>
        <v>1</v>
      </c>
      <c r="E23" s="45" t="str">
        <f>IF(B23=1,E43,IF(B23=2,G35,IF(B23=3,G36,IF(B23=4,G37,IF(B23=5,G38,IF(B23=6,G39,IF(B23=7,G40,IF(B23=8,G41,G42))))))))</f>
        <v xml:space="preserve">сто </v>
      </c>
      <c r="I23" s="40"/>
    </row>
    <row r="24" spans="1:9" s="33" customFormat="1">
      <c r="A24" s="44">
        <f>TRUNC(A25/10)</f>
        <v>10</v>
      </c>
      <c r="B24" s="145">
        <f>TRUNC(RIGHT(A24))</f>
        <v>0</v>
      </c>
      <c r="C24" s="41">
        <f>IF(B24=1,"",B24)</f>
        <v>0</v>
      </c>
      <c r="E24" s="46" t="str">
        <f>IF(OR(C24=0,B24=1),"",IF(B24=2,E35,IF(B24=3,E36,IF(B24=4,E37,IF(B24=5,E38,IF(B24=6,E39,IF(B24=7,E40,IF(B24=8,E41,E42))))))))</f>
        <v/>
      </c>
    </row>
    <row r="25" spans="1:9" s="33" customFormat="1">
      <c r="A25" s="44">
        <f>TRUNC(A27/10)</f>
        <v>104</v>
      </c>
      <c r="B25" s="145">
        <f>TRUNC(RIGHT(A25))</f>
        <v>4</v>
      </c>
      <c r="C25" s="41">
        <f>IF(B24=1,B25+10,IF(B25=0,0,B25))</f>
        <v>4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четыре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145"/>
      <c r="C26" s="41"/>
      <c r="E26" s="47">
        <f>B23*100+B24*10+B25</f>
        <v>104</v>
      </c>
      <c r="F26" s="33" t="str">
        <f>IF(E26=0,"",IF(B24=1,"тысяч ",IF(B25=1,"тысяча ",IF(OR(B25=2,B25=3,B25=4),"тысячи ","тысяч "))))</f>
        <v xml:space="preserve">тысячи </v>
      </c>
    </row>
    <row r="27" spans="1:9" s="33" customFormat="1">
      <c r="A27" s="44">
        <f>TRUNC(A28/10)</f>
        <v>1044</v>
      </c>
      <c r="B27" s="145">
        <f>TRUNC(RIGHT(A27))</f>
        <v>4</v>
      </c>
      <c r="C27" s="41">
        <f>B27</f>
        <v>4</v>
      </c>
      <c r="E27" s="45" t="str">
        <f>IF(B27=1,E43,IF(B27=2,G35,IF(B27=3,G36,IF(B27=4,G37,IF(B27=5,G38,IF(B27=6,G39,IF(B27=7,G40,IF(B27=8,G41,G42))))))))</f>
        <v xml:space="preserve">четыреста </v>
      </c>
    </row>
    <row r="28" spans="1:9" s="33" customFormat="1">
      <c r="A28" s="44">
        <f>TRUNC(A29/10)</f>
        <v>10447</v>
      </c>
      <c r="B28" s="48">
        <f>TRUNC(RIGHT(A28))</f>
        <v>7</v>
      </c>
      <c r="C28" s="41">
        <f>IF(B28=1,"",B28)</f>
        <v>7</v>
      </c>
      <c r="E28" s="46" t="str">
        <f>IF(OR(C28=0,B28=1),"",IF(C28=2,E35,IF(C28=3,E36,IF(C28=4,E37,IF(C28=5,E38,IF(C28=6,E39,IF(C28=7,E40,IF(C28=8,E41,E42))))))))</f>
        <v xml:space="preserve">семьдесят </v>
      </c>
      <c r="G28" s="145"/>
    </row>
    <row r="29" spans="1:9" s="33" customFormat="1">
      <c r="A29" s="44">
        <f>E13</f>
        <v>104471.73976499998</v>
      </c>
      <c r="B29" s="145">
        <v>8</v>
      </c>
      <c r="C29" s="41">
        <f>IF(B28=1,B29+10,IF(B29=0,0,B29))</f>
        <v>8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восемь </v>
      </c>
      <c r="F29" s="33" t="str">
        <f>IF(AND(C29&gt;15,C29&lt;20),IF(C29=16,D40,IF(C29=17,D41,IF(C29=18,D42,IF(C29=19,D43,)))),"")</f>
        <v/>
      </c>
      <c r="G29" s="145"/>
    </row>
    <row r="30" spans="1:9" s="33" customFormat="1">
      <c r="A30" s="39"/>
      <c r="B30" s="48"/>
      <c r="C30" s="49"/>
      <c r="E30" s="47">
        <f>B27*100+B28*10+B29</f>
        <v>478</v>
      </c>
      <c r="F30" s="33" t="str">
        <f>IF(E30+E26+E22+E18=0,"ноль рублей ",IF(C29=1,"рубль ",IF(OR(C29=2,C29=3,C29=4),"рубля ","рублей ")))</f>
        <v xml:space="preserve">рублей </v>
      </c>
      <c r="G30" s="145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145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145"/>
    </row>
    <row r="33" spans="1:11" s="33" customFormat="1">
      <c r="F33" s="33" t="s">
        <v>79</v>
      </c>
      <c r="H33" s="145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145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145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146"/>
    </row>
    <row r="47" spans="1:11" s="33" customFormat="1">
      <c r="B47" s="51"/>
      <c r="C47" s="51"/>
      <c r="H47" s="145"/>
    </row>
    <row r="48" spans="1:11" s="33" customFormat="1">
      <c r="B48" s="51"/>
      <c r="C48" s="51"/>
      <c r="H48" s="145"/>
    </row>
    <row r="49" spans="2:8" s="33" customFormat="1">
      <c r="B49" s="51"/>
      <c r="C49" s="51"/>
      <c r="H49" s="145"/>
    </row>
    <row r="50" spans="2:8" s="33" customFormat="1">
      <c r="B50" s="51"/>
      <c r="C50" s="51"/>
      <c r="H50" s="145"/>
    </row>
    <row r="51" spans="2:8" s="33" customFormat="1">
      <c r="B51" s="51"/>
      <c r="C51" s="51"/>
      <c r="H51" s="145"/>
    </row>
    <row r="52" spans="2:8" s="33" customFormat="1">
      <c r="B52" s="51"/>
      <c r="C52" s="51"/>
      <c r="H52" s="145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I22" sqref="I22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ГЕОЛОГИЯ'!G34</f>
        <v>70743.721999999994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Семьдесят тысяч семьсот сорок два рубля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44414</v>
      </c>
      <c r="O3" s="235"/>
      <c r="P3" s="20">
        <f ca="1">DAY(N3)</f>
        <v>6</v>
      </c>
      <c r="Q3" s="22" t="str">
        <f ca="1">IF(Q4&gt;7,S3,S4)</f>
        <v>августа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августа</v>
      </c>
    </row>
    <row r="4" spans="1:19">
      <c r="A4" s="16" t="s">
        <v>72</v>
      </c>
      <c r="B4" s="25" t="str">
        <f>SUBSTITUTE(B6,F9,F10,1)</f>
        <v>Семьдесят тысяч семьсот сорок два рубля 00 коп. (в т.ч. НДС - 357.79)</v>
      </c>
      <c r="H4" s="19"/>
      <c r="I4" s="19"/>
      <c r="J4" s="19"/>
      <c r="K4" s="236" t="str">
        <f ca="1">CONCATENATE(" «  ",P3,"  »  ",Q3,"  ",R3," г.")</f>
        <v xml:space="preserve"> «  6  »  августа  2021 г.</v>
      </c>
      <c r="L4" s="236"/>
      <c r="M4" s="236"/>
      <c r="N4" s="26"/>
      <c r="O4" s="26"/>
      <c r="P4" s="19"/>
      <c r="Q4" s="22">
        <f ca="1">MONTH(N3)</f>
        <v>8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брать не отсюда</v>
      </c>
    </row>
    <row r="5" spans="1:19">
      <c r="A5" s="27" t="s">
        <v>73</v>
      </c>
      <c r="B5" s="25" t="str">
        <f>CONCATENATE(A8,A9,A10,A11,A12)</f>
        <v>семьдесят тысяч семьсот сорок два рубля 00 коп.</v>
      </c>
    </row>
    <row r="6" spans="1:19" s="25" customFormat="1">
      <c r="A6" s="27" t="s">
        <v>74</v>
      </c>
      <c r="B6" s="25" t="str">
        <f>CONCATENATE(A8,A9,A10,A11,A12,B8,B9,C9)</f>
        <v>семьдесят тысяч семьсот сорок два рубля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семьдесят тысяч </v>
      </c>
      <c r="D10" s="37"/>
      <c r="E10" s="38"/>
      <c r="F10" s="31" t="str">
        <f>PROPER(F9)</f>
        <v>С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семьсот сорок два рубля </v>
      </c>
      <c r="D11" s="37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37"/>
      <c r="E12" s="38"/>
      <c r="M12" s="40">
        <f ca="1">TODAY()</f>
        <v>44414</v>
      </c>
    </row>
    <row r="13" spans="1:19" s="33" customFormat="1">
      <c r="A13" s="39"/>
      <c r="D13" s="41"/>
      <c r="E13" s="42">
        <f>'смета ГЕОЛОГИЯ'!G34</f>
        <v>70743.721999999994</v>
      </c>
      <c r="F13" s="41" t="s">
        <v>78</v>
      </c>
      <c r="H13" s="37"/>
      <c r="M13" s="43"/>
    </row>
    <row r="14" spans="1:19" s="33" customFormat="1">
      <c r="A14" s="44">
        <f>TRUNC(A15/10)</f>
        <v>0</v>
      </c>
      <c r="B14" s="37"/>
      <c r="C14" s="41"/>
      <c r="H14" s="37"/>
    </row>
    <row r="15" spans="1:19" s="33" customFormat="1">
      <c r="A15" s="44">
        <f>TRUNC(A16/10)</f>
        <v>0</v>
      </c>
      <c r="B15" s="37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37"/>
    </row>
    <row r="16" spans="1:19" s="33" customFormat="1">
      <c r="A16" s="44">
        <f>TRUNC(A17/10)</f>
        <v>0</v>
      </c>
      <c r="B16" s="37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37"/>
    </row>
    <row r="17" spans="1:9" s="33" customFormat="1">
      <c r="A17" s="44">
        <f>TRUNC(A19/10)</f>
        <v>0</v>
      </c>
      <c r="B17" s="37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37"/>
    </row>
    <row r="18" spans="1:9" s="33" customFormat="1">
      <c r="A18" s="44"/>
      <c r="B18" s="37"/>
      <c r="D18" s="37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37"/>
    </row>
    <row r="19" spans="1:9" s="33" customFormat="1">
      <c r="A19" s="44">
        <f>TRUNC(A20/10)</f>
        <v>0</v>
      </c>
      <c r="B19" s="37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37"/>
    </row>
    <row r="20" spans="1:9">
      <c r="A20" s="44">
        <f>TRUNC(A21/10)</f>
        <v>0</v>
      </c>
      <c r="B20" s="37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37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37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0</v>
      </c>
      <c r="B23" s="37">
        <f>TRUNC(RIGHT(A23))</f>
        <v>0</v>
      </c>
      <c r="C23" s="41">
        <f>B23</f>
        <v>0</v>
      </c>
      <c r="E23" s="45" t="str">
        <f>IF(B23=1,E43,IF(B23=2,G35,IF(B23=3,G36,IF(B23=4,G37,IF(B23=5,G38,IF(B23=6,G39,IF(B23=7,G40,IF(B23=8,G41,G42))))))))</f>
        <v xml:space="preserve">девятьсот </v>
      </c>
      <c r="I23" s="40"/>
    </row>
    <row r="24" spans="1:9" s="33" customFormat="1">
      <c r="A24" s="44">
        <f>TRUNC(A25/10)</f>
        <v>7</v>
      </c>
      <c r="B24" s="37">
        <f>TRUNC(RIGHT(A24))</f>
        <v>7</v>
      </c>
      <c r="C24" s="41">
        <f>IF(B24=1,"",B24)</f>
        <v>7</v>
      </c>
      <c r="E24" s="46" t="str">
        <f>IF(OR(C24=0,B24=1),"",IF(B24=2,E35,IF(B24=3,E36,IF(B24=4,E37,IF(B24=5,E38,IF(B24=6,E39,IF(B24=7,E40,IF(B24=8,E41,E42))))))))</f>
        <v xml:space="preserve">семьдесят </v>
      </c>
    </row>
    <row r="25" spans="1:9" s="33" customFormat="1">
      <c r="A25" s="44">
        <f>TRUNC(A27/10)</f>
        <v>70</v>
      </c>
      <c r="B25" s="37">
        <f>TRUNC(RIGHT(A25))</f>
        <v>0</v>
      </c>
      <c r="C25" s="41">
        <f>IF(B24=1,B25+10,IF(B25=0,0,B25))</f>
        <v>0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девять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37"/>
      <c r="C26" s="41"/>
      <c r="E26" s="47">
        <f>B23*100+B24*10+B25</f>
        <v>70</v>
      </c>
      <c r="F26" s="33" t="str">
        <f>IF(E26=0,"",IF(B24=1,"тысяч ",IF(B25=1,"тысяча ",IF(OR(B25=2,B25=3,B25=4),"тысячи ","тысяч "))))</f>
        <v xml:space="preserve">тысяч </v>
      </c>
    </row>
    <row r="27" spans="1:9" s="33" customFormat="1">
      <c r="A27" s="44">
        <f>TRUNC(A28/10)</f>
        <v>707</v>
      </c>
      <c r="B27" s="37">
        <f>TRUNC(RIGHT(A27))</f>
        <v>7</v>
      </c>
      <c r="C27" s="41">
        <f>B27</f>
        <v>7</v>
      </c>
      <c r="E27" s="45" t="str">
        <f>IF(B27=1,E43,IF(B27=2,G35,IF(B27=3,G36,IF(B27=4,G37,IF(B27=5,G38,IF(B27=6,G39,IF(B27=7,G40,IF(B27=8,G41,G42))))))))</f>
        <v xml:space="preserve">семьсот </v>
      </c>
    </row>
    <row r="28" spans="1:9" s="33" customFormat="1">
      <c r="A28" s="44">
        <f>TRUNC(A29/10)</f>
        <v>7074</v>
      </c>
      <c r="B28" s="48">
        <f>TRUNC(RIGHT(A28))</f>
        <v>4</v>
      </c>
      <c r="C28" s="41">
        <f>IF(B28=1,"",B28)</f>
        <v>4</v>
      </c>
      <c r="E28" s="46" t="str">
        <f>IF(OR(C28=0,B28=1),"",IF(C28=2,E35,IF(C28=3,E36,IF(C28=4,E37,IF(C28=5,E38,IF(C28=6,E39,IF(C28=7,E40,IF(C28=8,E41,E42))))))))</f>
        <v xml:space="preserve">сорок </v>
      </c>
      <c r="G28" s="37"/>
    </row>
    <row r="29" spans="1:9" s="33" customFormat="1">
      <c r="A29" s="44">
        <f>E13</f>
        <v>70743.721999999994</v>
      </c>
      <c r="B29" s="37">
        <f>TRUNC(RIGHT(A29))</f>
        <v>2</v>
      </c>
      <c r="C29" s="41">
        <f>IF(B28=1,B29+10,IF(B29=0,0,B29))</f>
        <v>2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два </v>
      </c>
      <c r="F29" s="33" t="str">
        <f>IF(AND(C29&gt;15,C29&lt;20),IF(C29=16,D40,IF(C29=17,D41,IF(C29=18,D42,IF(C29=19,D43,)))),"")</f>
        <v/>
      </c>
      <c r="G29" s="37"/>
    </row>
    <row r="30" spans="1:9" s="33" customFormat="1">
      <c r="A30" s="39"/>
      <c r="B30" s="48"/>
      <c r="C30" s="49"/>
      <c r="E30" s="47">
        <f>B27*100+B28*10+B29</f>
        <v>742</v>
      </c>
      <c r="F30" s="33" t="str">
        <f>IF(E30+E26+E22+E18=0,"ноль рублей ",IF(C29=1,"рубль ",IF(OR(C29=2,C29=3,C29=4),"рубля ","рублей ")))</f>
        <v xml:space="preserve">рубля </v>
      </c>
      <c r="G30" s="37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37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37"/>
    </row>
    <row r="33" spans="1:11" s="33" customFormat="1">
      <c r="F33" s="33" t="s">
        <v>79</v>
      </c>
      <c r="H33" s="37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37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37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53"/>
    </row>
    <row r="47" spans="1:11" s="33" customFormat="1">
      <c r="B47" s="51"/>
      <c r="C47" s="51"/>
      <c r="H47" s="37"/>
    </row>
    <row r="48" spans="1:11" s="33" customFormat="1">
      <c r="B48" s="51"/>
      <c r="C48" s="51"/>
      <c r="H48" s="37"/>
    </row>
    <row r="49" spans="2:8" s="33" customFormat="1">
      <c r="B49" s="51"/>
      <c r="C49" s="51"/>
      <c r="H49" s="37"/>
    </row>
    <row r="50" spans="2:8" s="33" customFormat="1">
      <c r="B50" s="51"/>
      <c r="C50" s="51"/>
      <c r="H50" s="37"/>
    </row>
    <row r="51" spans="2:8" s="33" customFormat="1">
      <c r="B51" s="51"/>
      <c r="C51" s="51"/>
      <c r="H51" s="37"/>
    </row>
    <row r="52" spans="2:8" s="33" customFormat="1">
      <c r="B52" s="51"/>
      <c r="C52" s="51"/>
      <c r="H52" s="37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СВОДНАЯ КАЛЬКУЛЯЦИЯ</vt:lpstr>
      <vt:lpstr>смета ПРОЕКТ</vt:lpstr>
      <vt:lpstr>смета ГЕОЛОГИЯ</vt:lpstr>
      <vt:lpstr>смета ГЕОДЕЗИЯ</vt:lpstr>
      <vt:lpstr>смета СХЕМА</vt:lpstr>
      <vt:lpstr>Формула числа прописью (2)</vt:lpstr>
      <vt:lpstr>Формула числа прописью</vt:lpstr>
      <vt:lpstr>'смета ПРОЕКТ'!Область_печати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Yurka</dc:creator>
  <cp:lastModifiedBy>User</cp:lastModifiedBy>
  <cp:lastPrinted>2021-08-06T11:12:09Z</cp:lastPrinted>
  <dcterms:created xsi:type="dcterms:W3CDTF">2020-02-03T10:36:37Z</dcterms:created>
  <dcterms:modified xsi:type="dcterms:W3CDTF">2021-08-06T11:12:20Z</dcterms:modified>
</cp:coreProperties>
</file>