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Dog-41\внешняя\1.ЗАКУПКИ_с_05.2020\201. СМР ул. Курская,  13 Б\"/>
    </mc:Choice>
  </mc:AlternateContent>
  <bookViews>
    <workbookView xWindow="0" yWindow="0" windowWidth="21570" windowHeight="8160" tabRatio="853" activeTab="2"/>
  </bookViews>
  <sheets>
    <sheet name="Исходный" sheetId="6" r:id="rId1"/>
    <sheet name="СМР" sheetId="20" r:id="rId2"/>
    <sheet name="СМР с  непр" sheetId="23" r:id="rId3"/>
    <sheet name="СМР с и зимн" sheetId="18" r:id="rId4"/>
    <sheet name="СМР, ПИР" sheetId="19" r:id="rId5"/>
    <sheet name="СМР, СИД" sheetId="17" r:id="rId6"/>
    <sheet name="СМР, СИД, ПИР" sheetId="16" r:id="rId7"/>
  </sheets>
  <definedNames>
    <definedName name="Подрядчик">Исходный!$B$4:$B$20</definedName>
    <definedName name="ФИО">Исходный!$C$4:$C$20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3" l="1"/>
  <c r="H17" i="23"/>
  <c r="H16" i="23" l="1"/>
  <c r="H19" i="23" l="1"/>
  <c r="G18" i="23"/>
  <c r="F18" i="23"/>
  <c r="E18" i="23"/>
  <c r="D18" i="23"/>
  <c r="D16" i="18" l="1"/>
  <c r="H20" i="23" l="1"/>
  <c r="A5" i="16"/>
  <c r="H25" i="16" l="1"/>
  <c r="G34" i="16"/>
  <c r="G27" i="16"/>
  <c r="F10" i="23" l="1"/>
  <c r="A5" i="20"/>
  <c r="G17" i="19" l="1"/>
  <c r="F17" i="19"/>
  <c r="E17" i="19"/>
  <c r="E17" i="17"/>
  <c r="F17" i="17"/>
  <c r="G17" i="17"/>
  <c r="D16" i="17"/>
  <c r="D17" i="17" s="1"/>
  <c r="D17" i="19" l="1"/>
  <c r="G25" i="17"/>
  <c r="G24" i="17"/>
  <c r="H24" i="17" s="1"/>
  <c r="G23" i="17"/>
  <c r="H17" i="20" l="1"/>
  <c r="G17" i="20"/>
  <c r="F17" i="20"/>
  <c r="E17" i="20"/>
  <c r="D17" i="20"/>
  <c r="A11" i="20"/>
  <c r="G24" i="19" l="1"/>
  <c r="F24" i="19"/>
  <c r="E24" i="19"/>
  <c r="D24" i="19"/>
  <c r="G21" i="19"/>
  <c r="H16" i="19"/>
  <c r="H17" i="19" s="1"/>
  <c r="A11" i="19"/>
  <c r="A5" i="19"/>
  <c r="G21" i="18"/>
  <c r="F21" i="18"/>
  <c r="E21" i="18"/>
  <c r="D21" i="18"/>
  <c r="G18" i="18"/>
  <c r="F18" i="18"/>
  <c r="E18" i="18"/>
  <c r="E20" i="18" s="1"/>
  <c r="D18" i="18"/>
  <c r="D20" i="18" s="1"/>
  <c r="H17" i="18"/>
  <c r="H16" i="18"/>
  <c r="A11" i="18"/>
  <c r="A5" i="18"/>
  <c r="G29" i="17"/>
  <c r="F29" i="17"/>
  <c r="E29" i="17"/>
  <c r="D29" i="17"/>
  <c r="H25" i="17"/>
  <c r="G19" i="17"/>
  <c r="F19" i="17"/>
  <c r="E18" i="17"/>
  <c r="D18" i="17"/>
  <c r="H16" i="17"/>
  <c r="A11" i="17"/>
  <c r="A5" i="17"/>
  <c r="G33" i="16"/>
  <c r="H33" i="16" s="1"/>
  <c r="G32" i="16"/>
  <c r="H31" i="16"/>
  <c r="H34" i="16" s="1"/>
  <c r="G26" i="16"/>
  <c r="H26" i="16" s="1"/>
  <c r="H35" i="16" l="1"/>
  <c r="H36" i="16" s="1"/>
  <c r="H17" i="17"/>
  <c r="G26" i="17"/>
  <c r="H18" i="20"/>
  <c r="H19" i="20" s="1"/>
  <c r="F10" i="20" s="1"/>
  <c r="H20" i="19"/>
  <c r="H21" i="19" s="1"/>
  <c r="H18" i="18"/>
  <c r="H23" i="17"/>
  <c r="H26" i="17" s="1"/>
  <c r="D19" i="17"/>
  <c r="E19" i="17"/>
  <c r="H32" i="16"/>
  <c r="H17" i="16"/>
  <c r="G18" i="16"/>
  <c r="G21" i="16" s="1"/>
  <c r="F18" i="16"/>
  <c r="F21" i="16" s="1"/>
  <c r="E18" i="16"/>
  <c r="E20" i="16" s="1"/>
  <c r="D18" i="16"/>
  <c r="D20" i="16" s="1"/>
  <c r="E19" i="16" l="1"/>
  <c r="E21" i="16" s="1"/>
  <c r="H20" i="18"/>
  <c r="H21" i="18" s="1"/>
  <c r="H22" i="18" s="1"/>
  <c r="H23" i="18" s="1"/>
  <c r="H24" i="18" s="1"/>
  <c r="E3" i="20"/>
  <c r="E2" i="20"/>
  <c r="H24" i="19"/>
  <c r="H18" i="17"/>
  <c r="H19" i="17" s="1"/>
  <c r="D19" i="16"/>
  <c r="D21" i="16" s="1"/>
  <c r="H22" i="19"/>
  <c r="H23" i="19" s="1"/>
  <c r="H27" i="17"/>
  <c r="H28" i="17" s="1"/>
  <c r="H27" i="16"/>
  <c r="H16" i="16"/>
  <c r="H18" i="16" s="1"/>
  <c r="H28" i="16" l="1"/>
  <c r="H29" i="16" s="1"/>
  <c r="H37" i="16"/>
  <c r="H18" i="19"/>
  <c r="H19" i="19" s="1"/>
  <c r="H20" i="17"/>
  <c r="H21" i="17" s="1"/>
  <c r="H29" i="17"/>
  <c r="H30" i="17" s="1"/>
  <c r="H31" i="17" s="1"/>
  <c r="F10" i="17" s="1"/>
  <c r="H25" i="19"/>
  <c r="H26" i="19" s="1"/>
  <c r="F10" i="19" s="1"/>
  <c r="E2" i="19" s="1"/>
  <c r="H19" i="16"/>
  <c r="H20" i="16"/>
  <c r="G37" i="16"/>
  <c r="F37" i="16"/>
  <c r="E37" i="16"/>
  <c r="D37" i="16"/>
  <c r="A11" i="16"/>
  <c r="F10" i="18" l="1"/>
  <c r="E2" i="18" s="1"/>
  <c r="H38" i="16"/>
  <c r="H39" i="16" s="1"/>
  <c r="H21" i="16"/>
  <c r="E3" i="19"/>
  <c r="E2" i="17"/>
  <c r="E3" i="17"/>
  <c r="E3" i="18" l="1"/>
  <c r="H22" i="16"/>
  <c r="H23" i="16" s="1"/>
  <c r="F10" i="16"/>
  <c r="E3" i="16" l="1"/>
  <c r="E2" i="16"/>
</calcChain>
</file>

<file path=xl/sharedStrings.xml><?xml version="1.0" encoding="utf-8"?>
<sst xmlns="http://schemas.openxmlformats.org/spreadsheetml/2006/main" count="243" uniqueCount="98">
  <si>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</si>
  <si>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</si>
  <si>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</si>
  <si>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</si>
  <si>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</si>
  <si>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</si>
  <si>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ИТОГО</t>
  </si>
  <si>
    <t>РАСЧЕТ СТОИМОСТИ СТРОИТЕЛЬСТВА</t>
  </si>
  <si>
    <t>УТВЕРЖДАЮ:</t>
  </si>
  <si>
    <t>В.О.Брябрин</t>
  </si>
  <si>
    <t>Исп. Юлайханова Т.Л.</t>
  </si>
  <si>
    <t>Технологическое присоединение</t>
  </si>
  <si>
    <t>Проектные работы</t>
  </si>
  <si>
    <t>СОГЛАСОВАНО:</t>
  </si>
  <si>
    <t>№ п/п</t>
  </si>
  <si>
    <t>Начальник управления по строительству и инвестициям</t>
  </si>
  <si>
    <t>на технологическое присоединение</t>
  </si>
  <si>
    <t>_________________________В.А.Фомин</t>
  </si>
  <si>
    <t>Заместитель генерального директора-
Главный инженер АО "Челябинскгоргаз"</t>
  </si>
  <si>
    <t>Генеральный директор АО "Челябинскгоргаз"</t>
  </si>
  <si>
    <t>______________________________В.Г.Серадский</t>
  </si>
  <si>
    <t>Сметная стоимость, руб</t>
  </si>
  <si>
    <t>НДС 18%</t>
  </si>
  <si>
    <t>ВСЕГО с НДС</t>
  </si>
  <si>
    <t>Сметная стоимость:</t>
  </si>
  <si>
    <t>Строительно-монтажные работы:</t>
  </si>
  <si>
    <t>Основание</t>
  </si>
  <si>
    <t>рублей</t>
  </si>
  <si>
    <t>Другие работы</t>
  </si>
  <si>
    <t>Итого</t>
  </si>
  <si>
    <t>Временные здания и сооружения 1.5%</t>
  </si>
  <si>
    <t>Возмещение доп. затрат при производстве СМР в зимнее время 3.3%</t>
  </si>
  <si>
    <t>ИТОГО СМР</t>
  </si>
  <si>
    <t>ИТОГО СМР с НДС</t>
  </si>
  <si>
    <t>Сбор исходных данных:</t>
  </si>
  <si>
    <t>Акт №  от</t>
  </si>
  <si>
    <t>Подготовка исходных данных для предпроектной проработки трассы (АПЗ) 500/1.18</t>
  </si>
  <si>
    <t>ИТОГО СИД с НДС</t>
  </si>
  <si>
    <t>Проектно- изыскательские работы:</t>
  </si>
  <si>
    <t>ЛС № 1</t>
  </si>
  <si>
    <t>ЛС № 2</t>
  </si>
  <si>
    <t>Инженерно-геологические изыскания 1000/1.18</t>
  </si>
  <si>
    <t>Инженерно-геодезические изыскания 500/1.18</t>
  </si>
  <si>
    <t>ИТОГО ПИР с НДС</t>
  </si>
  <si>
    <t>Директор ООО "Гольфстрим"</t>
  </si>
  <si>
    <t>_____________В.Н. Ашихмин</t>
  </si>
  <si>
    <t>Директор ООО "УралГазСпектр"</t>
  </si>
  <si>
    <t>Директор ООО "ТехноСтрой-Ч"</t>
  </si>
  <si>
    <t>_____________В.И. Чернобаев</t>
  </si>
  <si>
    <t>Директор ООО ТПГ "Недра"</t>
  </si>
  <si>
    <t>____________Н.А. Авдеева</t>
  </si>
  <si>
    <t>Директор ООО "СК Легион-Энерго"</t>
  </si>
  <si>
    <t>________________М.Р. Насибулин</t>
  </si>
  <si>
    <t>Генеральный директор ООО "ПКФ "Челябгазстрой"</t>
  </si>
  <si>
    <t>______________Д.Г. Милюков</t>
  </si>
  <si>
    <t>Генеральный директор ООО "НПО "Факел"</t>
  </si>
  <si>
    <t>______________М.П. Докшин</t>
  </si>
  <si>
    <t>Подрядчик</t>
  </si>
  <si>
    <t>ФИО</t>
  </si>
  <si>
    <t xml:space="preserve"> </t>
  </si>
  <si>
    <t>Акт № 7760 от 17.09.2015</t>
  </si>
  <si>
    <t>Подготовка и выдача материалов для инженерно-геодезических изысканий 8563.26/1.18</t>
  </si>
  <si>
    <t>Акт № 49 от 21.01.2016</t>
  </si>
  <si>
    <t>Подготовка схемы расположения на кадастровом плане земельного участка 3278.85/1.18</t>
  </si>
  <si>
    <t>Акт № 3345 от 16.06.2015</t>
  </si>
  <si>
    <t>Подготовка исходных данных для предпроектной проработки трассы (АПЗ) 5436.26/1.18</t>
  </si>
  <si>
    <t>Директор ООО "Газопроводсервис"</t>
  </si>
  <si>
    <t>__________________А.В. Бунаков</t>
  </si>
  <si>
    <t>Директор ООО фирма "ГЕФЕСТ-СТРОЙ"</t>
  </si>
  <si>
    <t>_________________В.Г. Степанов</t>
  </si>
  <si>
    <t>Директор ООО "ЭкспрессГазМонтаж - 74"</t>
  </si>
  <si>
    <t>_________________Р.И. Гафаров</t>
  </si>
  <si>
    <t>Контрольно-исполнительная съемка</t>
  </si>
  <si>
    <t>ИТОГО с НДС</t>
  </si>
  <si>
    <t>Смета № 2</t>
  </si>
  <si>
    <t>Исп. Артюхова В.В.</t>
  </si>
  <si>
    <t>Генеральный директор ООО "Веста-Газ"</t>
  </si>
  <si>
    <t>____________________________В.А. Руднев</t>
  </si>
  <si>
    <t>Оформление ситуационного плана с нанесением ЗУ в МУП АПЦ</t>
  </si>
  <si>
    <t xml:space="preserve">Смета № </t>
  </si>
  <si>
    <t>НДС 20%</t>
  </si>
  <si>
    <t>Итого с поправочным (договорным) коэффициентом К=0.8687009</t>
  </si>
  <si>
    <t>ЛС № 02-01-01</t>
  </si>
  <si>
    <t>Начальник управления (специализированного в прочих отраслях)</t>
  </si>
  <si>
    <r>
      <t>Составлен(а) в ценах по состоянию: на</t>
    </r>
    <r>
      <rPr>
        <sz val="11"/>
        <color rgb="FFFF0000"/>
        <rFont val="Calibri"/>
        <family val="2"/>
        <charset val="204"/>
        <scheme val="minor"/>
      </rPr>
      <t xml:space="preserve"> 3 квартал 2018</t>
    </r>
    <r>
      <rPr>
        <sz val="11"/>
        <color theme="1"/>
        <rFont val="Calibri"/>
        <family val="2"/>
        <charset val="204"/>
        <scheme val="minor"/>
      </rPr>
      <t xml:space="preserve"> года</t>
    </r>
  </si>
  <si>
    <t xml:space="preserve">_________________А.С. Ядрешников </t>
  </si>
  <si>
    <t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t>
  </si>
  <si>
    <t>Исп. Романова Т.В.</t>
  </si>
  <si>
    <t xml:space="preserve">ИТОГО </t>
  </si>
  <si>
    <t>ВСЕГО c НДС</t>
  </si>
  <si>
    <t>ЛС №1</t>
  </si>
  <si>
    <t>Копылова Е.В.</t>
  </si>
  <si>
    <t>Ю.А. Седов</t>
  </si>
  <si>
    <t>___________________________/</t>
  </si>
  <si>
    <t xml:space="preserve">______________________/ </t>
  </si>
  <si>
    <t>Резерв средств на непредвиденные работы и затраты 2%</t>
  </si>
  <si>
    <t>Газоснабжение жилого дома № 13-"Б" по ул. Курская в Советском районе г. Челябинска. Технологическое присоединение.</t>
  </si>
  <si>
    <t>Составлен (а) в ценах на 4 квартал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</si>
</sst>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1" fillId="0" borderId="0">
      <alignment horizontal="center"/>
    </xf>
    <xf numFmtId="0" fontId="12" fillId="0" borderId="0"/>
    <xf numFmtId="0" fontId="11" fillId="0" borderId="0"/>
    <xf numFmtId="0" fontId="12" fillId="0" borderId="0"/>
    <xf numFmtId="0" fontId="11" fillId="0" borderId="1">
      <alignment horizontal="center" wrapText="1"/>
    </xf>
    <xf numFmtId="0" fontId="11" fillId="0" borderId="0">
      <alignment horizontal="right" vertical="top" wrapText="1"/>
    </xf>
    <xf numFmtId="0" fontId="11" fillId="0" borderId="0">
      <alignment horizontal="left" vertical="top"/>
    </xf>
  </cellStyleXfs>
  <cellXfs count="67">
    <xf numFmtId="0" fontId="0" fillId="0" borderId="0" xfId="0"/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center" wrapText="1"/>
    </xf>
    <xf numFmtId="0" fontId="1" fillId="0" borderId="0" xfId="0" applyFont="1"/>
    <xf numFmtId="164" fontId="4" fillId="0" borderId="5" xfId="0" applyNumberFormat="1" applyFont="1" applyBorder="1" applyAlignment="1">
      <alignment horizontal="center"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/>
    <xf numFmtId="0" fontId="7" fillId="0" borderId="5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10" fillId="0" borderId="0" xfId="0" applyFont="1"/>
    <xf numFmtId="0" fontId="6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0" fillId="0" borderId="0" xfId="0" applyFont="1"/>
    <xf numFmtId="0" fontId="0" fillId="0" borderId="8" xfId="0" applyBorder="1"/>
    <xf numFmtId="0" fontId="1" fillId="0" borderId="9" xfId="0" applyFont="1" applyBorder="1"/>
    <xf numFmtId="0" fontId="1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9" fillId="0" borderId="9" xfId="0" applyFont="1" applyBorder="1"/>
    <xf numFmtId="0" fontId="9" fillId="0" borderId="0" xfId="0" applyFont="1" applyBorder="1" applyAlignment="1">
      <alignment horizontal="left" vertical="top"/>
    </xf>
    <xf numFmtId="0" fontId="0" fillId="0" borderId="13" xfId="0" applyBorder="1"/>
    <xf numFmtId="0" fontId="1" fillId="0" borderId="14" xfId="0" applyFont="1" applyBorder="1"/>
    <xf numFmtId="0" fontId="0" fillId="0" borderId="15" xfId="0" applyBorder="1"/>
    <xf numFmtId="0" fontId="9" fillId="0" borderId="0" xfId="0" applyFont="1"/>
    <xf numFmtId="0" fontId="0" fillId="2" borderId="0" xfId="0" applyFill="1"/>
    <xf numFmtId="164" fontId="4" fillId="0" borderId="7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4" fontId="13" fillId="0" borderId="1" xfId="6" applyNumberFormat="1" applyFont="1" applyBorder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120" zoomScaleNormal="120" workbookViewId="0">
      <selection activeCell="A2" sqref="A2"/>
    </sheetView>
  </sheetViews>
  <sheetFormatPr defaultRowHeight="15" x14ac:dyDescent="0.25"/>
  <cols>
    <col min="1" max="1" width="3.5703125" customWidth="1"/>
    <col min="2" max="2" width="36.42578125" customWidth="1"/>
    <col min="3" max="3" width="13.42578125" customWidth="1"/>
    <col min="4" max="4" width="11.28515625" customWidth="1"/>
    <col min="5" max="5" width="11" customWidth="1"/>
    <col min="6" max="7" width="11.7109375" customWidth="1"/>
  </cols>
  <sheetData>
    <row r="1" spans="1:7" s="36" customFormat="1" ht="45.75" customHeight="1" x14ac:dyDescent="0.25">
      <c r="A1" s="43" t="s">
        <v>86</v>
      </c>
      <c r="B1" s="43"/>
      <c r="C1" s="43"/>
      <c r="D1" s="43"/>
      <c r="E1" s="43"/>
      <c r="F1" s="43"/>
      <c r="G1" s="43"/>
    </row>
    <row r="2" spans="1:7" ht="12.75" customHeight="1" x14ac:dyDescent="0.25"/>
    <row r="3" spans="1:7" x14ac:dyDescent="0.25">
      <c r="A3" t="s">
        <v>84</v>
      </c>
    </row>
    <row r="4" spans="1:7" x14ac:dyDescent="0.25">
      <c r="B4" s="27" t="s">
        <v>57</v>
      </c>
      <c r="C4" s="28" t="s">
        <v>58</v>
      </c>
      <c r="D4" s="28"/>
      <c r="E4" s="29"/>
    </row>
    <row r="5" spans="1:7" x14ac:dyDescent="0.25">
      <c r="B5" s="30" t="s">
        <v>44</v>
      </c>
      <c r="C5" s="31" t="s">
        <v>45</v>
      </c>
      <c r="D5" s="16"/>
      <c r="E5" s="32"/>
    </row>
    <row r="6" spans="1:7" x14ac:dyDescent="0.25">
      <c r="B6" s="25" t="s">
        <v>46</v>
      </c>
      <c r="C6" s="26" t="s">
        <v>85</v>
      </c>
      <c r="D6" s="16"/>
      <c r="E6" s="32"/>
    </row>
    <row r="7" spans="1:7" x14ac:dyDescent="0.25">
      <c r="B7" s="25" t="s">
        <v>47</v>
      </c>
      <c r="C7" s="26" t="s">
        <v>48</v>
      </c>
      <c r="D7" s="16"/>
      <c r="E7" s="32"/>
    </row>
    <row r="8" spans="1:7" x14ac:dyDescent="0.25">
      <c r="B8" s="25" t="s">
        <v>49</v>
      </c>
      <c r="C8" s="26" t="s">
        <v>50</v>
      </c>
      <c r="D8" s="16"/>
      <c r="E8" s="32"/>
    </row>
    <row r="9" spans="1:7" x14ac:dyDescent="0.25">
      <c r="B9" s="25" t="s">
        <v>53</v>
      </c>
      <c r="C9" s="26" t="s">
        <v>54</v>
      </c>
      <c r="D9" s="16"/>
      <c r="E9" s="32"/>
    </row>
    <row r="10" spans="1:7" x14ac:dyDescent="0.25">
      <c r="B10" s="25" t="s">
        <v>55</v>
      </c>
      <c r="C10" s="26" t="s">
        <v>56</v>
      </c>
      <c r="D10" s="16"/>
      <c r="E10" s="32"/>
    </row>
    <row r="11" spans="1:7" x14ac:dyDescent="0.25">
      <c r="B11" s="25" t="s">
        <v>51</v>
      </c>
      <c r="C11" s="26" t="s">
        <v>52</v>
      </c>
      <c r="D11" s="16"/>
      <c r="E11" s="32"/>
    </row>
    <row r="12" spans="1:7" x14ac:dyDescent="0.25">
      <c r="B12" s="25" t="s">
        <v>66</v>
      </c>
      <c r="C12" s="26" t="s">
        <v>67</v>
      </c>
      <c r="D12" s="16"/>
      <c r="E12" s="32"/>
    </row>
    <row r="13" spans="1:7" x14ac:dyDescent="0.25">
      <c r="B13" s="25" t="s">
        <v>68</v>
      </c>
      <c r="C13" s="26" t="s">
        <v>69</v>
      </c>
      <c r="D13" s="16"/>
      <c r="E13" s="32"/>
    </row>
    <row r="14" spans="1:7" x14ac:dyDescent="0.25">
      <c r="B14" s="30" t="s">
        <v>70</v>
      </c>
      <c r="C14" s="35" t="s">
        <v>71</v>
      </c>
      <c r="D14" s="16"/>
      <c r="E14" s="32"/>
    </row>
    <row r="15" spans="1:7" x14ac:dyDescent="0.25">
      <c r="B15" s="25"/>
      <c r="C15" s="26"/>
      <c r="D15" s="16"/>
      <c r="E15" s="32"/>
    </row>
    <row r="16" spans="1:7" x14ac:dyDescent="0.25">
      <c r="B16" s="25"/>
      <c r="C16" s="26"/>
      <c r="D16" s="16"/>
      <c r="E16" s="32"/>
    </row>
    <row r="17" spans="2:15" x14ac:dyDescent="0.25">
      <c r="B17" s="25"/>
      <c r="C17" s="26"/>
      <c r="D17" s="16"/>
      <c r="E17" s="32"/>
    </row>
    <row r="18" spans="2:15" x14ac:dyDescent="0.25">
      <c r="B18" s="25"/>
      <c r="C18" s="26"/>
      <c r="D18" s="16"/>
      <c r="E18" s="32"/>
    </row>
    <row r="19" spans="2:15" x14ac:dyDescent="0.25">
      <c r="B19" s="25"/>
      <c r="C19" s="26"/>
      <c r="D19" s="16"/>
      <c r="E19" s="32"/>
    </row>
    <row r="20" spans="2:15" x14ac:dyDescent="0.25">
      <c r="B20" s="33"/>
      <c r="C20" s="24"/>
      <c r="D20" s="24"/>
      <c r="E20" s="34"/>
    </row>
    <row r="22" spans="2:15" ht="30" customHeight="1" x14ac:dyDescent="0.25">
      <c r="B22" s="44" t="s">
        <v>18</v>
      </c>
      <c r="C22" s="44"/>
      <c r="D22" s="44"/>
      <c r="E22" s="44"/>
      <c r="O22" t="s">
        <v>59</v>
      </c>
    </row>
    <row r="23" spans="2:15" x14ac:dyDescent="0.25">
      <c r="B23" s="45" t="s">
        <v>17</v>
      </c>
      <c r="C23" s="45"/>
      <c r="D23" s="45"/>
      <c r="E23" s="45"/>
    </row>
    <row r="25" spans="2:15" x14ac:dyDescent="0.25">
      <c r="B25" s="45" t="s">
        <v>19</v>
      </c>
      <c r="C25" s="45"/>
      <c r="D25" s="45"/>
      <c r="E25" s="45"/>
    </row>
    <row r="26" spans="2:15" x14ac:dyDescent="0.25">
      <c r="B26" s="45" t="s">
        <v>20</v>
      </c>
      <c r="C26" s="45"/>
      <c r="D26" s="45"/>
      <c r="E26" s="45"/>
    </row>
  </sheetData>
  <mergeCells count="5">
    <mergeCell ref="A1:G1"/>
    <mergeCell ref="B22:E22"/>
    <mergeCell ref="B23:E23"/>
    <mergeCell ref="B25:E25"/>
    <mergeCell ref="B26:E26"/>
  </mergeCell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view="pageLayout" zoomScaleNormal="100" zoomScaleSheetLayoutView="120" workbookViewId="0">
      <selection activeCell="H23" sqref="H2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 t="s">
        <v>66</v>
      </c>
      <c r="B2" s="49"/>
      <c r="C2" s="49"/>
      <c r="E2" s="59" t="str">
        <f>IF(F10&lt;100000,Исходный!B25,IF(F10&gt;100000,Исходный!B25))</f>
        <v>Генеральный директор АО "Челябинскгоргаз"</v>
      </c>
      <c r="F2" s="59"/>
      <c r="G2" s="59"/>
      <c r="H2" s="59"/>
    </row>
    <row r="3" spans="1:11" x14ac:dyDescent="0.25">
      <c r="A3" s="50" t="s">
        <v>67</v>
      </c>
      <c r="B3" s="50"/>
      <c r="C3" s="50"/>
      <c r="E3" s="58" t="str">
        <f>IF(F10&lt;100000,Исходный!B26,IF(F10&gt;100000,Исходный!B26))</f>
        <v>______________________________В.Г.Серадский</v>
      </c>
      <c r="F3" s="58"/>
      <c r="G3" s="58"/>
      <c r="H3" s="58"/>
    </row>
    <row r="5" spans="1:11" ht="30.7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10" spans="1:11" x14ac:dyDescent="0.25">
      <c r="D10" s="16" t="s">
        <v>24</v>
      </c>
      <c r="E10" s="16"/>
      <c r="F10" s="51">
        <f>H19</f>
        <v>118000</v>
      </c>
      <c r="G10" s="51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1">
        <v>1</v>
      </c>
      <c r="B15" s="11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99111</v>
      </c>
      <c r="E16" s="14">
        <v>889</v>
      </c>
      <c r="F16" s="14">
        <v>0</v>
      </c>
      <c r="G16" s="14">
        <v>0</v>
      </c>
      <c r="H16" s="14">
        <v>100000</v>
      </c>
      <c r="I16" s="6"/>
      <c r="J16" s="6"/>
    </row>
    <row r="17" spans="1:10" ht="15.75" customHeight="1" x14ac:dyDescent="0.25">
      <c r="A17" s="46" t="s">
        <v>6</v>
      </c>
      <c r="B17" s="47"/>
      <c r="C17" s="47"/>
      <c r="D17" s="7">
        <f t="shared" ref="D17:G17" si="0">SUM(D15)</f>
        <v>0</v>
      </c>
      <c r="E17" s="7">
        <f t="shared" si="0"/>
        <v>0</v>
      </c>
      <c r="F17" s="7">
        <f t="shared" si="0"/>
        <v>0</v>
      </c>
      <c r="G17" s="7">
        <f t="shared" si="0"/>
        <v>0</v>
      </c>
      <c r="H17" s="7">
        <f>H16</f>
        <v>100000</v>
      </c>
      <c r="I17" s="6"/>
      <c r="J17" s="6"/>
    </row>
    <row r="18" spans="1:10" ht="15.75" customHeight="1" x14ac:dyDescent="0.25">
      <c r="A18" s="46" t="s">
        <v>22</v>
      </c>
      <c r="B18" s="47"/>
      <c r="C18" s="48"/>
      <c r="D18" s="7"/>
      <c r="E18" s="7"/>
      <c r="F18" s="7"/>
      <c r="G18" s="7"/>
      <c r="H18" s="7">
        <f>H17/100*18</f>
        <v>18000</v>
      </c>
      <c r="I18" s="6"/>
      <c r="J18" s="6"/>
    </row>
    <row r="19" spans="1:10" ht="15.75" customHeight="1" x14ac:dyDescent="0.25">
      <c r="A19" s="46" t="s">
        <v>23</v>
      </c>
      <c r="B19" s="47"/>
      <c r="C19" s="48"/>
      <c r="D19" s="7"/>
      <c r="E19" s="7"/>
      <c r="F19" s="7"/>
      <c r="G19" s="7"/>
      <c r="H19" s="7">
        <f>SUM(H17:H18)</f>
        <v>118000</v>
      </c>
      <c r="I19" s="6"/>
      <c r="J19" s="6"/>
    </row>
    <row r="22" spans="1:10" x14ac:dyDescent="0.25">
      <c r="B22" t="s">
        <v>15</v>
      </c>
      <c r="D22" s="24"/>
      <c r="F22" t="s">
        <v>59</v>
      </c>
    </row>
    <row r="30" spans="1:10" x14ac:dyDescent="0.25">
      <c r="A30" t="s">
        <v>75</v>
      </c>
    </row>
  </sheetData>
  <mergeCells count="16">
    <mergeCell ref="E1:H1"/>
    <mergeCell ref="E2:H2"/>
    <mergeCell ref="E3:H3"/>
    <mergeCell ref="A5:H5"/>
    <mergeCell ref="A7:H7"/>
    <mergeCell ref="A18:C18"/>
    <mergeCell ref="A19:C19"/>
    <mergeCell ref="A2:C2"/>
    <mergeCell ref="A3:C3"/>
    <mergeCell ref="F10:G10"/>
    <mergeCell ref="A12:A13"/>
    <mergeCell ref="B12:B13"/>
    <mergeCell ref="C12:C13"/>
    <mergeCell ref="D12:H12"/>
    <mergeCell ref="A17:C17"/>
    <mergeCell ref="A8:H8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zoomScaleNormal="100" zoomScaleSheetLayoutView="120" workbookViewId="0">
      <selection activeCell="H19" sqref="H19"/>
    </sheetView>
  </sheetViews>
  <sheetFormatPr defaultColWidth="9.140625" defaultRowHeight="15" x14ac:dyDescent="0.25"/>
  <cols>
    <col min="1" max="1" width="4.140625" customWidth="1"/>
    <col min="2" max="2" width="12.8554687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65"/>
      <c r="B2" s="65"/>
      <c r="C2" s="65"/>
      <c r="E2" s="66"/>
      <c r="F2" s="66"/>
      <c r="G2" s="66"/>
      <c r="H2" s="66"/>
    </row>
    <row r="3" spans="1:11" x14ac:dyDescent="0.25">
      <c r="A3" s="50" t="s">
        <v>93</v>
      </c>
      <c r="B3" s="50"/>
      <c r="C3" s="50"/>
      <c r="E3" s="50" t="s">
        <v>94</v>
      </c>
      <c r="F3" s="50"/>
      <c r="G3" s="50"/>
      <c r="H3" s="50"/>
    </row>
    <row r="5" spans="1:11" ht="30.75" customHeight="1" x14ac:dyDescent="0.25">
      <c r="A5" s="60" t="s">
        <v>96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10" spans="1:11" x14ac:dyDescent="0.25">
      <c r="D10" s="16" t="s">
        <v>24</v>
      </c>
      <c r="E10" s="16"/>
      <c r="F10" s="51">
        <f>H20</f>
        <v>177724.79999999999</v>
      </c>
      <c r="G10" s="51"/>
      <c r="H10" t="s">
        <v>27</v>
      </c>
    </row>
    <row r="11" spans="1:11" x14ac:dyDescent="0.25">
      <c r="A11" t="s">
        <v>97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40">
        <v>1</v>
      </c>
      <c r="B15" s="4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90</v>
      </c>
      <c r="C16" s="3" t="s">
        <v>11</v>
      </c>
      <c r="D16" s="14">
        <v>144772</v>
      </c>
      <c r="E16" s="14">
        <v>428</v>
      </c>
      <c r="F16" s="14"/>
      <c r="G16" s="14"/>
      <c r="H16" s="14">
        <f>E16+D16</f>
        <v>145200</v>
      </c>
      <c r="I16" s="6"/>
      <c r="J16" s="6"/>
    </row>
    <row r="17" spans="1:10" ht="15.75" customHeight="1" x14ac:dyDescent="0.25">
      <c r="A17" s="19"/>
      <c r="B17" s="19"/>
      <c r="C17" s="3" t="s">
        <v>95</v>
      </c>
      <c r="D17" s="14"/>
      <c r="E17" s="14"/>
      <c r="F17" s="14"/>
      <c r="G17" s="14"/>
      <c r="H17" s="14">
        <f>ROUND(H16/100*2,2)</f>
        <v>2904</v>
      </c>
      <c r="I17" s="6"/>
      <c r="J17" s="6"/>
    </row>
    <row r="18" spans="1:10" ht="15.75" customHeight="1" x14ac:dyDescent="0.25">
      <c r="A18" s="46" t="s">
        <v>88</v>
      </c>
      <c r="B18" s="47"/>
      <c r="C18" s="47"/>
      <c r="D18" s="7">
        <f t="shared" ref="D18:G18" si="0">SUM(D15)</f>
        <v>0</v>
      </c>
      <c r="E18" s="7">
        <f t="shared" si="0"/>
        <v>0</v>
      </c>
      <c r="F18" s="7">
        <f t="shared" si="0"/>
        <v>0</v>
      </c>
      <c r="G18" s="7">
        <f t="shared" si="0"/>
        <v>0</v>
      </c>
      <c r="H18" s="42">
        <f>H17+H16</f>
        <v>148104</v>
      </c>
      <c r="I18" s="6"/>
      <c r="J18" s="6"/>
    </row>
    <row r="19" spans="1:10" ht="15.75" customHeight="1" x14ac:dyDescent="0.25">
      <c r="A19" s="62" t="s">
        <v>80</v>
      </c>
      <c r="B19" s="63"/>
      <c r="C19" s="64"/>
      <c r="D19" s="7"/>
      <c r="E19" s="7"/>
      <c r="F19" s="7"/>
      <c r="G19" s="7"/>
      <c r="H19" s="41">
        <f>ROUND(H18*20%,2)</f>
        <v>29620.799999999999</v>
      </c>
      <c r="I19" s="6"/>
      <c r="J19" s="6"/>
    </row>
    <row r="20" spans="1:10" ht="15.75" customHeight="1" x14ac:dyDescent="0.25">
      <c r="A20" s="46" t="s">
        <v>89</v>
      </c>
      <c r="B20" s="47"/>
      <c r="C20" s="48"/>
      <c r="D20" s="7"/>
      <c r="E20" s="7"/>
      <c r="F20" s="7"/>
      <c r="G20" s="7"/>
      <c r="H20" s="41">
        <f>H18+H19</f>
        <v>177724.79999999999</v>
      </c>
      <c r="I20" s="6"/>
      <c r="J20" s="6"/>
    </row>
    <row r="23" spans="1:10" x14ac:dyDescent="0.25">
      <c r="B23" t="s">
        <v>83</v>
      </c>
      <c r="D23" s="24"/>
      <c r="E23" s="24"/>
      <c r="G23" t="s">
        <v>92</v>
      </c>
    </row>
    <row r="26" spans="1:10" x14ac:dyDescent="0.25">
      <c r="A26" t="s">
        <v>87</v>
      </c>
      <c r="B26" t="s">
        <v>91</v>
      </c>
    </row>
  </sheetData>
  <mergeCells count="16">
    <mergeCell ref="A5:H5"/>
    <mergeCell ref="E1:H1"/>
    <mergeCell ref="A2:C2"/>
    <mergeCell ref="E2:H2"/>
    <mergeCell ref="A3:C3"/>
    <mergeCell ref="E3:H3"/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Layout" zoomScaleNormal="100" zoomScaleSheetLayoutView="120" workbookViewId="0">
      <selection activeCell="C20" sqref="C20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 t="s">
        <v>68</v>
      </c>
      <c r="B2" s="49"/>
      <c r="C2" s="49"/>
      <c r="E2" s="59" t="str">
        <f>IF(F10&lt;100000,Исходный!B22,IF(F10&gt;100000,Исходный!B25))</f>
        <v>Генеральный директор АО "Челябинскгоргаз"</v>
      </c>
      <c r="F2" s="59"/>
      <c r="G2" s="59"/>
      <c r="H2" s="59"/>
    </row>
    <row r="3" spans="1:11" x14ac:dyDescent="0.25">
      <c r="A3" s="50" t="s">
        <v>69</v>
      </c>
      <c r="B3" s="50"/>
      <c r="C3" s="50"/>
      <c r="E3" s="58" t="str">
        <f>IF(F10&lt;100000,Исходный!B23,IF(F10&gt;100000,Исходный!B26))</f>
        <v>______________________________В.Г.Серадский</v>
      </c>
      <c r="F3" s="58"/>
      <c r="G3" s="58"/>
      <c r="H3" s="58"/>
    </row>
    <row r="5" spans="1:11" ht="30.7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10" spans="1:11" x14ac:dyDescent="0.25">
      <c r="D10" s="16" t="s">
        <v>24</v>
      </c>
      <c r="E10" s="16"/>
      <c r="F10" s="51">
        <f>H24</f>
        <v>120000.00135081468</v>
      </c>
      <c r="G10" s="51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82</v>
      </c>
      <c r="C16" s="3" t="s">
        <v>11</v>
      </c>
      <c r="D16" s="14">
        <f>83468+5248</f>
        <v>88716</v>
      </c>
      <c r="E16" s="14">
        <v>22721</v>
      </c>
      <c r="F16" s="14">
        <v>0</v>
      </c>
      <c r="G16" s="14">
        <v>0</v>
      </c>
      <c r="H16" s="14">
        <f>SUM(D16:G16)</f>
        <v>111437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0</v>
      </c>
      <c r="E17" s="14">
        <v>0</v>
      </c>
      <c r="F17" s="14">
        <v>0</v>
      </c>
      <c r="G17" s="14">
        <v>0</v>
      </c>
      <c r="H17" s="14">
        <f>SUM(D17:G17)</f>
        <v>0</v>
      </c>
      <c r="I17" s="6"/>
      <c r="J17" s="6"/>
    </row>
    <row r="18" spans="1:10" ht="15.75" customHeight="1" x14ac:dyDescent="0.25">
      <c r="A18" s="19"/>
      <c r="B18" s="19"/>
      <c r="C18" s="3" t="s">
        <v>29</v>
      </c>
      <c r="D18" s="14">
        <f>SUM(D16:D17)</f>
        <v>88716</v>
      </c>
      <c r="E18" s="14">
        <f>SUM(E16:E17)</f>
        <v>22721</v>
      </c>
      <c r="F18" s="14">
        <f>SUM(F16:F17)</f>
        <v>0</v>
      </c>
      <c r="G18" s="14">
        <f>SUM(G16:G17)</f>
        <v>0</v>
      </c>
      <c r="H18" s="14">
        <f>SUM(H16:H17)</f>
        <v>111437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v>0</v>
      </c>
      <c r="E19" s="14">
        <v>0</v>
      </c>
      <c r="F19" s="14"/>
      <c r="G19" s="14"/>
      <c r="H19" s="14">
        <v>0</v>
      </c>
      <c r="I19" s="6"/>
      <c r="J19" s="6"/>
    </row>
    <row r="20" spans="1:10" ht="15.75" customHeight="1" x14ac:dyDescent="0.25">
      <c r="A20" s="19"/>
      <c r="B20" s="19"/>
      <c r="C20" s="3" t="s">
        <v>31</v>
      </c>
      <c r="D20" s="14">
        <f>D18/100*3.3</f>
        <v>2927.6279999999997</v>
      </c>
      <c r="E20" s="14">
        <f>E18/100*3.3</f>
        <v>749.79300000000001</v>
      </c>
      <c r="F20" s="14"/>
      <c r="G20" s="14"/>
      <c r="H20" s="14">
        <f>H18/100*3.3</f>
        <v>3677.4209999999994</v>
      </c>
      <c r="I20" s="6"/>
      <c r="J20" s="6"/>
    </row>
    <row r="21" spans="1:10" ht="15.75" customHeight="1" x14ac:dyDescent="0.25">
      <c r="A21" s="46" t="s">
        <v>6</v>
      </c>
      <c r="B21" s="47"/>
      <c r="C21" s="47"/>
      <c r="D21" s="7">
        <f t="shared" ref="D21:G21" si="0">SUM(D15)</f>
        <v>0</v>
      </c>
      <c r="E21" s="7">
        <f t="shared" si="0"/>
        <v>0</v>
      </c>
      <c r="F21" s="7">
        <f t="shared" si="0"/>
        <v>0</v>
      </c>
      <c r="G21" s="7">
        <f t="shared" si="0"/>
        <v>0</v>
      </c>
      <c r="H21" s="7">
        <f>H18+H19+H20</f>
        <v>115114.421</v>
      </c>
      <c r="I21" s="6"/>
      <c r="J21" s="6"/>
    </row>
    <row r="22" spans="1:10" ht="15.75" customHeight="1" x14ac:dyDescent="0.25">
      <c r="A22" s="46" t="s">
        <v>81</v>
      </c>
      <c r="B22" s="47"/>
      <c r="C22" s="48"/>
      <c r="D22" s="7"/>
      <c r="E22" s="7"/>
      <c r="F22" s="7"/>
      <c r="G22" s="7"/>
      <c r="H22" s="7">
        <f>H21*0.8687009</f>
        <v>100000.0011256789</v>
      </c>
      <c r="I22" s="6"/>
      <c r="J22" s="6"/>
    </row>
    <row r="23" spans="1:10" ht="15.75" customHeight="1" x14ac:dyDescent="0.25">
      <c r="A23" s="62" t="s">
        <v>80</v>
      </c>
      <c r="B23" s="63"/>
      <c r="C23" s="64"/>
      <c r="D23" s="7"/>
      <c r="E23" s="7"/>
      <c r="F23" s="7"/>
      <c r="G23" s="7"/>
      <c r="H23" s="7">
        <f>H22/100*20</f>
        <v>20000.00022513578</v>
      </c>
      <c r="I23" s="6"/>
      <c r="J23" s="6"/>
    </row>
    <row r="24" spans="1:10" ht="15.75" customHeight="1" x14ac:dyDescent="0.25">
      <c r="A24" s="46" t="s">
        <v>23</v>
      </c>
      <c r="B24" s="47"/>
      <c r="C24" s="48"/>
      <c r="D24" s="7"/>
      <c r="E24" s="7"/>
      <c r="F24" s="7"/>
      <c r="G24" s="7"/>
      <c r="H24" s="7">
        <f>H23+H22</f>
        <v>120000.00135081468</v>
      </c>
      <c r="I24" s="6"/>
      <c r="J24" s="6"/>
    </row>
    <row r="28" spans="1:10" x14ac:dyDescent="0.25">
      <c r="B28" t="s">
        <v>83</v>
      </c>
      <c r="D28" s="24"/>
      <c r="E28" s="24"/>
      <c r="G28" t="s">
        <v>9</v>
      </c>
    </row>
    <row r="31" spans="1:10" x14ac:dyDescent="0.25">
      <c r="A31" t="s">
        <v>75</v>
      </c>
    </row>
  </sheetData>
  <mergeCells count="17">
    <mergeCell ref="A23:C23"/>
    <mergeCell ref="A24:C24"/>
    <mergeCell ref="F10:G10"/>
    <mergeCell ref="A12:A13"/>
    <mergeCell ref="B12:B13"/>
    <mergeCell ref="C12:C13"/>
    <mergeCell ref="D12:H12"/>
    <mergeCell ref="A21:C21"/>
    <mergeCell ref="A22:C22"/>
    <mergeCell ref="A8:H8"/>
    <mergeCell ref="A2:C2"/>
    <mergeCell ref="A3:C3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Layout" topLeftCell="A7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17.25" customHeight="1" x14ac:dyDescent="0.25">
      <c r="A2" s="49" t="s">
        <v>66</v>
      </c>
      <c r="B2" s="49"/>
      <c r="C2" s="49"/>
      <c r="E2" s="59" t="str">
        <f>IF(F10&lt;100000,Исходный!B22,IF(F10&gt;100000,Исходный!B25))</f>
        <v>Генеральный директор АО "Челябинскгоргаз"</v>
      </c>
      <c r="F2" s="59"/>
      <c r="G2" s="59"/>
      <c r="H2" s="59"/>
    </row>
    <row r="3" spans="1:11" x14ac:dyDescent="0.25">
      <c r="A3" s="50" t="s">
        <v>67</v>
      </c>
      <c r="B3" s="50"/>
      <c r="C3" s="50"/>
      <c r="E3" s="58" t="str">
        <f>IF(F10&lt;100000,Исходный!B23,IF(F10&gt;100000,Исходный!B26))</f>
        <v>______________________________В.Г.Серадский</v>
      </c>
      <c r="F3" s="58"/>
      <c r="G3" s="58"/>
      <c r="H3" s="58"/>
    </row>
    <row r="4" spans="1:11" ht="11.25" customHeight="1" x14ac:dyDescent="0.25"/>
    <row r="5" spans="1:11" ht="30.7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6" spans="1:11" ht="12" customHeight="1" x14ac:dyDescent="0.25"/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9" spans="1:11" ht="6.75" customHeight="1" x14ac:dyDescent="0.25"/>
    <row r="10" spans="1:11" x14ac:dyDescent="0.25">
      <c r="D10" s="16" t="s">
        <v>24</v>
      </c>
      <c r="E10" s="16"/>
      <c r="F10" s="51">
        <f>H26</f>
        <v>104070.1</v>
      </c>
      <c r="G10" s="51"/>
      <c r="H10" t="s">
        <v>27</v>
      </c>
    </row>
    <row r="11" spans="1:11" ht="12" customHeight="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75528</v>
      </c>
      <c r="E16" s="14">
        <v>2565</v>
      </c>
      <c r="F16" s="14">
        <v>0</v>
      </c>
      <c r="G16" s="14">
        <v>0</v>
      </c>
      <c r="H16" s="14">
        <f>SUM(D16:G16)</f>
        <v>78093</v>
      </c>
      <c r="I16" s="6"/>
      <c r="J16" s="6"/>
    </row>
    <row r="17" spans="1:10" ht="15.75" customHeight="1" x14ac:dyDescent="0.25">
      <c r="A17" s="19"/>
      <c r="B17" s="19"/>
      <c r="C17" s="3" t="s">
        <v>32</v>
      </c>
      <c r="D17" s="14">
        <f>SUM(D16:D16)</f>
        <v>75528</v>
      </c>
      <c r="E17" s="14">
        <f>SUM(E16:E16)</f>
        <v>2565</v>
      </c>
      <c r="F17" s="14">
        <f>SUM(F16:F16)</f>
        <v>0</v>
      </c>
      <c r="G17" s="14">
        <f>SUM(G16:G16)</f>
        <v>0</v>
      </c>
      <c r="H17" s="14">
        <f>SUM(H16:H16)</f>
        <v>78093</v>
      </c>
      <c r="I17" s="6"/>
      <c r="J17" s="6"/>
    </row>
    <row r="18" spans="1:10" ht="15.75" customHeight="1" x14ac:dyDescent="0.25">
      <c r="A18" s="19"/>
      <c r="B18" s="19"/>
      <c r="C18" s="3" t="s">
        <v>22</v>
      </c>
      <c r="D18" s="14"/>
      <c r="E18" s="14"/>
      <c r="F18" s="14"/>
      <c r="G18" s="14"/>
      <c r="H18" s="14">
        <f>H17/100*18</f>
        <v>14056.74</v>
      </c>
      <c r="I18" s="6"/>
      <c r="J18" s="6"/>
    </row>
    <row r="19" spans="1:10" s="4" customFormat="1" ht="15.75" customHeight="1" x14ac:dyDescent="0.25">
      <c r="A19" s="20"/>
      <c r="B19" s="20"/>
      <c r="C19" s="9" t="s">
        <v>33</v>
      </c>
      <c r="D19" s="21"/>
      <c r="E19" s="21"/>
      <c r="F19" s="21"/>
      <c r="G19" s="21"/>
      <c r="H19" s="21">
        <f>SUM(H17:H18)</f>
        <v>92149.74</v>
      </c>
      <c r="I19" s="17"/>
      <c r="J19" s="17"/>
    </row>
    <row r="20" spans="1:10" s="23" customFormat="1" ht="15.75" customHeight="1" x14ac:dyDescent="0.25">
      <c r="A20" s="2"/>
      <c r="B20" s="19" t="s">
        <v>74</v>
      </c>
      <c r="C20" s="3" t="s">
        <v>72</v>
      </c>
      <c r="D20" s="14"/>
      <c r="E20" s="14"/>
      <c r="F20" s="14"/>
      <c r="G20" s="14">
        <v>10102</v>
      </c>
      <c r="H20" s="14">
        <f>SUM(D20:G20)</f>
        <v>10102</v>
      </c>
      <c r="I20" s="6"/>
      <c r="J20" s="6"/>
    </row>
    <row r="21" spans="1:10" s="23" customFormat="1" ht="15.75" customHeight="1" x14ac:dyDescent="0.25">
      <c r="A21" s="2"/>
      <c r="B21" s="19"/>
      <c r="C21" s="3" t="s">
        <v>29</v>
      </c>
      <c r="D21" s="14"/>
      <c r="E21" s="14"/>
      <c r="F21" s="14"/>
      <c r="G21" s="14">
        <f>SUM(G20:G20)</f>
        <v>10102</v>
      </c>
      <c r="H21" s="14">
        <f>SUM(H20:H20)</f>
        <v>10102</v>
      </c>
      <c r="I21" s="6"/>
      <c r="J21" s="6"/>
    </row>
    <row r="22" spans="1:10" s="23" customFormat="1" ht="15.75" customHeight="1" x14ac:dyDescent="0.25">
      <c r="A22" s="2"/>
      <c r="B22" s="19"/>
      <c r="C22" s="3" t="s">
        <v>22</v>
      </c>
      <c r="D22" s="14"/>
      <c r="E22" s="14"/>
      <c r="F22" s="14"/>
      <c r="G22" s="14"/>
      <c r="H22" s="14">
        <f>H21/100*18</f>
        <v>1818.36</v>
      </c>
      <c r="I22" s="6"/>
      <c r="J22" s="6"/>
    </row>
    <row r="23" spans="1:10" s="4" customFormat="1" ht="15.75" customHeight="1" x14ac:dyDescent="0.25">
      <c r="A23" s="22"/>
      <c r="B23" s="20"/>
      <c r="C23" s="9" t="s">
        <v>73</v>
      </c>
      <c r="D23" s="21"/>
      <c r="E23" s="21"/>
      <c r="F23" s="21"/>
      <c r="G23" s="21"/>
      <c r="H23" s="21">
        <f>SUM(H21:H22)</f>
        <v>11920.36</v>
      </c>
      <c r="I23" s="17"/>
      <c r="J23" s="17"/>
    </row>
    <row r="24" spans="1:10" ht="15.75" customHeight="1" x14ac:dyDescent="0.25">
      <c r="A24" s="46" t="s">
        <v>6</v>
      </c>
      <c r="B24" s="47"/>
      <c r="C24" s="47"/>
      <c r="D24" s="7">
        <f t="shared" ref="D24:G24" si="0">SUM(D15)</f>
        <v>0</v>
      </c>
      <c r="E24" s="7">
        <f t="shared" si="0"/>
        <v>0</v>
      </c>
      <c r="F24" s="7">
        <f t="shared" si="0"/>
        <v>0</v>
      </c>
      <c r="G24" s="7">
        <f t="shared" si="0"/>
        <v>0</v>
      </c>
      <c r="H24" s="7">
        <f>H17+H21</f>
        <v>88195</v>
      </c>
      <c r="I24" s="6"/>
      <c r="J24" s="6"/>
    </row>
    <row r="25" spans="1:10" ht="15.75" customHeight="1" x14ac:dyDescent="0.25">
      <c r="A25" s="46" t="s">
        <v>22</v>
      </c>
      <c r="B25" s="47"/>
      <c r="C25" s="48"/>
      <c r="D25" s="7"/>
      <c r="E25" s="7"/>
      <c r="F25" s="7"/>
      <c r="G25" s="7"/>
      <c r="H25" s="7">
        <f>H24/100*18</f>
        <v>15875.1</v>
      </c>
      <c r="I25" s="6"/>
      <c r="J25" s="6"/>
    </row>
    <row r="26" spans="1:10" ht="15.75" customHeight="1" x14ac:dyDescent="0.25">
      <c r="A26" s="46" t="s">
        <v>23</v>
      </c>
      <c r="B26" s="47"/>
      <c r="C26" s="48"/>
      <c r="D26" s="7"/>
      <c r="E26" s="7"/>
      <c r="F26" s="7"/>
      <c r="G26" s="7"/>
      <c r="H26" s="7">
        <f>SUM(H24:H25)</f>
        <v>104070.1</v>
      </c>
      <c r="I26" s="6"/>
      <c r="J26" s="6"/>
    </row>
    <row r="28" spans="1:10" x14ac:dyDescent="0.25">
      <c r="B28" t="s">
        <v>15</v>
      </c>
      <c r="D28" s="24"/>
      <c r="E28" s="24"/>
      <c r="G28" t="s">
        <v>9</v>
      </c>
    </row>
  </sheetData>
  <mergeCells count="16">
    <mergeCell ref="A25:C25"/>
    <mergeCell ref="A26:C26"/>
    <mergeCell ref="F10:G10"/>
    <mergeCell ref="A12:A13"/>
    <mergeCell ref="B12:B13"/>
    <mergeCell ref="C12:C13"/>
    <mergeCell ref="D12:H12"/>
    <mergeCell ref="A24:C24"/>
    <mergeCell ref="A8:H8"/>
    <mergeCell ref="A2:C2"/>
    <mergeCell ref="A3:C3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  <firstFooter>&amp;LИсп. Кувалдина Е.С.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view="pageLayout" topLeftCell="A16" zoomScaleNormal="100" zoomScaleSheetLayoutView="120" workbookViewId="0">
      <selection activeCell="D16" sqref="D16:E16"/>
    </sheetView>
  </sheetViews>
  <sheetFormatPr defaultColWidth="9.140625" defaultRowHeight="15" x14ac:dyDescent="0.25"/>
  <cols>
    <col min="1" max="1" width="5" customWidth="1"/>
    <col min="2" max="2" width="20" customWidth="1"/>
    <col min="3" max="3" width="74.42578125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 t="s">
        <v>57</v>
      </c>
      <c r="B2" s="49"/>
      <c r="C2" s="49"/>
      <c r="E2" s="59" t="str">
        <f>IF(F10&lt;100000,Исходный!B22,IF(F10&gt;100000,Исходный!B25))</f>
        <v>Генеральный директор АО "Челябинскгоргаз"</v>
      </c>
      <c r="F2" s="59"/>
      <c r="G2" s="59"/>
      <c r="H2" s="59"/>
    </row>
    <row r="3" spans="1:11" x14ac:dyDescent="0.25">
      <c r="A3" s="50" t="s">
        <v>58</v>
      </c>
      <c r="B3" s="50"/>
      <c r="C3" s="50"/>
      <c r="E3" s="58" t="str">
        <f>IF(F10&lt;100000,Исходный!B23,IF(F10&gt;100000,Исходный!B26))</f>
        <v>______________________________В.Г.Серадский</v>
      </c>
      <c r="F3" s="58"/>
      <c r="G3" s="58"/>
      <c r="H3" s="58"/>
    </row>
    <row r="5" spans="1:11" ht="28.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10" spans="1:11" x14ac:dyDescent="0.25">
      <c r="D10" s="16" t="s">
        <v>24</v>
      </c>
      <c r="E10" s="16"/>
      <c r="F10" s="51">
        <f>H31</f>
        <v>1125250.9481600001</v>
      </c>
      <c r="G10" s="51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f>24561+605135</f>
        <v>629696</v>
      </c>
      <c r="E16" s="14">
        <v>279268</v>
      </c>
      <c r="F16" s="14">
        <v>0</v>
      </c>
      <c r="G16" s="14">
        <v>0</v>
      </c>
      <c r="H16" s="14">
        <f>SUM(D16:G16)</f>
        <v>908964</v>
      </c>
      <c r="I16" s="6"/>
      <c r="J16" s="6"/>
    </row>
    <row r="17" spans="1:10" ht="15.75" customHeight="1" x14ac:dyDescent="0.25">
      <c r="A17" s="19"/>
      <c r="B17" s="19"/>
      <c r="C17" s="3" t="s">
        <v>29</v>
      </c>
      <c r="D17" s="14">
        <f>SUM(D16:D16)</f>
        <v>629696</v>
      </c>
      <c r="E17" s="14">
        <f>SUM(E16:E16)</f>
        <v>279268</v>
      </c>
      <c r="F17" s="14">
        <f>SUM(F16:F16)</f>
        <v>0</v>
      </c>
      <c r="G17" s="14">
        <f>SUM(G16:G16)</f>
        <v>0</v>
      </c>
      <c r="H17" s="14">
        <f>SUM(H16:H16)</f>
        <v>908964</v>
      </c>
      <c r="I17" s="6"/>
      <c r="J17" s="6"/>
    </row>
    <row r="18" spans="1:10" ht="15.75" customHeight="1" x14ac:dyDescent="0.25">
      <c r="A18" s="19"/>
      <c r="B18" s="19"/>
      <c r="C18" s="3" t="s">
        <v>31</v>
      </c>
      <c r="D18" s="14">
        <f>D17/100*3.3</f>
        <v>20779.968000000001</v>
      </c>
      <c r="E18" s="14">
        <f>E17/100*3.3</f>
        <v>9215.8439999999991</v>
      </c>
      <c r="F18" s="14"/>
      <c r="G18" s="14"/>
      <c r="H18" s="14">
        <f>H17/100*3.3</f>
        <v>29995.811999999998</v>
      </c>
      <c r="I18" s="6"/>
      <c r="J18" s="6"/>
    </row>
    <row r="19" spans="1:10" ht="15.75" customHeight="1" x14ac:dyDescent="0.25">
      <c r="A19" s="19"/>
      <c r="B19" s="19"/>
      <c r="C19" s="3" t="s">
        <v>32</v>
      </c>
      <c r="D19" s="14">
        <f>SUM(D17:D18)</f>
        <v>650475.96799999999</v>
      </c>
      <c r="E19" s="14">
        <f>SUM(E17:E18)</f>
        <v>288483.84399999998</v>
      </c>
      <c r="F19" s="14">
        <f>SUM(F17:F18)</f>
        <v>0</v>
      </c>
      <c r="G19" s="14">
        <f>SUM(G17:G18)</f>
        <v>0</v>
      </c>
      <c r="H19" s="14">
        <f>SUM(H17:H18)</f>
        <v>938959.81200000003</v>
      </c>
      <c r="I19" s="6"/>
      <c r="J19" s="6"/>
    </row>
    <row r="20" spans="1:10" ht="15.75" customHeight="1" x14ac:dyDescent="0.25">
      <c r="A20" s="19"/>
      <c r="B20" s="19"/>
      <c r="C20" s="3" t="s">
        <v>22</v>
      </c>
      <c r="D20" s="14"/>
      <c r="E20" s="14"/>
      <c r="F20" s="14"/>
      <c r="G20" s="14"/>
      <c r="H20" s="14">
        <f>H19/100*18</f>
        <v>169012.76616</v>
      </c>
      <c r="I20" s="6"/>
      <c r="J20" s="6"/>
    </row>
    <row r="21" spans="1:10" s="4" customFormat="1" ht="15.75" customHeight="1" x14ac:dyDescent="0.25">
      <c r="A21" s="20"/>
      <c r="B21" s="20"/>
      <c r="C21" s="9" t="s">
        <v>33</v>
      </c>
      <c r="D21" s="21"/>
      <c r="E21" s="21"/>
      <c r="F21" s="21"/>
      <c r="G21" s="21"/>
      <c r="H21" s="21">
        <f>SUM(H19:H20)</f>
        <v>1107972.57816</v>
      </c>
      <c r="I21" s="17"/>
      <c r="J21" s="17"/>
    </row>
    <row r="22" spans="1:10" ht="15.75" customHeight="1" x14ac:dyDescent="0.25">
      <c r="A22" s="10">
        <v>2</v>
      </c>
      <c r="B22" s="10"/>
      <c r="C22" s="18" t="s">
        <v>34</v>
      </c>
      <c r="D22" s="5"/>
      <c r="E22" s="5"/>
      <c r="F22" s="5"/>
      <c r="G22" s="5"/>
      <c r="H22" s="5"/>
      <c r="I22" s="6"/>
      <c r="J22" s="6"/>
    </row>
    <row r="23" spans="1:10" ht="28.5" customHeight="1" x14ac:dyDescent="0.25">
      <c r="A23" s="19"/>
      <c r="B23" s="19" t="s">
        <v>60</v>
      </c>
      <c r="C23" s="3" t="s">
        <v>61</v>
      </c>
      <c r="D23" s="14"/>
      <c r="E23" s="14"/>
      <c r="F23" s="14"/>
      <c r="G23" s="14">
        <f>8563.26/1.18</f>
        <v>7257.0000000000009</v>
      </c>
      <c r="H23" s="14">
        <f>SUM(D23:G23)</f>
        <v>7257.0000000000009</v>
      </c>
      <c r="I23" s="6"/>
      <c r="J23" s="6"/>
    </row>
    <row r="24" spans="1:10" ht="28.5" customHeight="1" x14ac:dyDescent="0.25">
      <c r="A24" s="19"/>
      <c r="B24" s="19" t="s">
        <v>62</v>
      </c>
      <c r="C24" s="3" t="s">
        <v>63</v>
      </c>
      <c r="D24" s="14"/>
      <c r="E24" s="14"/>
      <c r="F24" s="14"/>
      <c r="G24" s="14">
        <f>3278.85/1.18</f>
        <v>2778.6864406779659</v>
      </c>
      <c r="H24" s="14">
        <f>G24</f>
        <v>2778.6864406779659</v>
      </c>
      <c r="I24" s="6"/>
      <c r="J24" s="6"/>
    </row>
    <row r="25" spans="1:10" ht="27" customHeight="1" x14ac:dyDescent="0.25">
      <c r="A25" s="19"/>
      <c r="B25" s="19" t="s">
        <v>64</v>
      </c>
      <c r="C25" s="3" t="s">
        <v>65</v>
      </c>
      <c r="D25" s="14"/>
      <c r="E25" s="14"/>
      <c r="F25" s="14"/>
      <c r="G25" s="14">
        <f>5436.26/1.18</f>
        <v>4607</v>
      </c>
      <c r="H25" s="14">
        <f>SUM(D25:G25)</f>
        <v>4607</v>
      </c>
      <c r="I25" s="6"/>
      <c r="J25" s="6"/>
    </row>
    <row r="26" spans="1:10" ht="15.75" customHeight="1" x14ac:dyDescent="0.25">
      <c r="A26" s="19"/>
      <c r="B26" s="19"/>
      <c r="C26" s="3" t="s">
        <v>29</v>
      </c>
      <c r="D26" s="14"/>
      <c r="E26" s="14"/>
      <c r="F26" s="14"/>
      <c r="G26" s="14">
        <f>SUM(G23:G25)</f>
        <v>14642.686440677968</v>
      </c>
      <c r="H26" s="14">
        <f>SUM(H23:H25)</f>
        <v>14642.686440677968</v>
      </c>
      <c r="I26" s="6"/>
      <c r="J26" s="6"/>
    </row>
    <row r="27" spans="1:10" ht="15.75" customHeight="1" x14ac:dyDescent="0.25">
      <c r="A27" s="19"/>
      <c r="B27" s="19"/>
      <c r="C27" s="3" t="s">
        <v>22</v>
      </c>
      <c r="D27" s="14"/>
      <c r="E27" s="14"/>
      <c r="F27" s="14"/>
      <c r="G27" s="14"/>
      <c r="H27" s="14">
        <f>H26/100*18</f>
        <v>2635.6835593220344</v>
      </c>
      <c r="I27" s="6"/>
      <c r="J27" s="6"/>
    </row>
    <row r="28" spans="1:10" s="4" customFormat="1" ht="15.75" customHeight="1" x14ac:dyDescent="0.25">
      <c r="A28" s="22"/>
      <c r="B28" s="20"/>
      <c r="C28" s="9" t="s">
        <v>37</v>
      </c>
      <c r="D28" s="21"/>
      <c r="E28" s="21"/>
      <c r="F28" s="21"/>
      <c r="G28" s="21"/>
      <c r="H28" s="21">
        <f>SUM(H26:H27)</f>
        <v>17278.370000000003</v>
      </c>
      <c r="I28" s="17"/>
      <c r="J28" s="17"/>
    </row>
    <row r="29" spans="1:10" ht="15.75" customHeight="1" x14ac:dyDescent="0.25">
      <c r="A29" s="46" t="s">
        <v>6</v>
      </c>
      <c r="B29" s="47"/>
      <c r="C29" s="47"/>
      <c r="D29" s="7">
        <f t="shared" ref="D29:G29" si="0">SUM(D15)</f>
        <v>0</v>
      </c>
      <c r="E29" s="7">
        <f t="shared" si="0"/>
        <v>0</v>
      </c>
      <c r="F29" s="7">
        <f t="shared" si="0"/>
        <v>0</v>
      </c>
      <c r="G29" s="7">
        <f t="shared" si="0"/>
        <v>0</v>
      </c>
      <c r="H29" s="7">
        <f>H19+H26</f>
        <v>953602.498440678</v>
      </c>
      <c r="I29" s="6"/>
      <c r="J29" s="6"/>
    </row>
    <row r="30" spans="1:10" ht="15.75" customHeight="1" x14ac:dyDescent="0.25">
      <c r="A30" s="46" t="s">
        <v>22</v>
      </c>
      <c r="B30" s="47"/>
      <c r="C30" s="48"/>
      <c r="D30" s="7"/>
      <c r="E30" s="7"/>
      <c r="F30" s="7"/>
      <c r="G30" s="7"/>
      <c r="H30" s="7">
        <f>H29/100*18</f>
        <v>171648.44971932203</v>
      </c>
      <c r="I30" s="6"/>
      <c r="J30" s="6"/>
    </row>
    <row r="31" spans="1:10" ht="15.75" customHeight="1" x14ac:dyDescent="0.25">
      <c r="A31" s="46" t="s">
        <v>23</v>
      </c>
      <c r="B31" s="47"/>
      <c r="C31" s="48"/>
      <c r="D31" s="7"/>
      <c r="E31" s="7"/>
      <c r="F31" s="7"/>
      <c r="G31" s="7"/>
      <c r="H31" s="7">
        <f>SUM(H29:H30)</f>
        <v>1125250.9481600001</v>
      </c>
      <c r="I31" s="6"/>
      <c r="J31" s="6"/>
    </row>
    <row r="34" spans="1:7" x14ac:dyDescent="0.25">
      <c r="B34" t="s">
        <v>15</v>
      </c>
      <c r="D34" s="24"/>
      <c r="E34" s="24"/>
      <c r="G34" t="s">
        <v>9</v>
      </c>
    </row>
    <row r="36" spans="1:7" x14ac:dyDescent="0.25">
      <c r="A36" t="s">
        <v>10</v>
      </c>
    </row>
  </sheetData>
  <mergeCells count="16">
    <mergeCell ref="A30:C30"/>
    <mergeCell ref="A31:C31"/>
    <mergeCell ref="F10:G10"/>
    <mergeCell ref="A12:A13"/>
    <mergeCell ref="B12:B13"/>
    <mergeCell ref="C12:C13"/>
    <mergeCell ref="D12:H12"/>
    <mergeCell ref="A29:C29"/>
    <mergeCell ref="A8:H8"/>
    <mergeCell ref="A2:C2"/>
    <mergeCell ref="A3:C3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scale="78" orientation="landscape" r:id="rId1"/>
  <headerFooter differentFirst="1">
    <firstHeader>&amp;RПриложение №_______
к ________________________________________________г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view="pageLayout" topLeftCell="A2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58" t="s">
        <v>8</v>
      </c>
      <c r="F1" s="58"/>
      <c r="G1" s="58"/>
      <c r="H1" s="58"/>
    </row>
    <row r="2" spans="1:11" ht="29.25" customHeight="1" x14ac:dyDescent="0.25">
      <c r="A2" s="49" t="s">
        <v>76</v>
      </c>
      <c r="B2" s="49"/>
      <c r="C2" s="49"/>
      <c r="E2" s="59" t="str">
        <f>IF(F10&lt;100000,Исходный!B22,IF(F10&gt;100000,Исходный!B25))</f>
        <v>Заместитель генерального директора-
Главный инженер АО "Челябинскгоргаз"</v>
      </c>
      <c r="F2" s="59"/>
      <c r="G2" s="59"/>
      <c r="H2" s="59"/>
    </row>
    <row r="3" spans="1:11" x14ac:dyDescent="0.25">
      <c r="A3" s="50" t="s">
        <v>77</v>
      </c>
      <c r="B3" s="50"/>
      <c r="C3" s="50"/>
      <c r="E3" s="58" t="str">
        <f>IF(F10&lt;100000,Исходный!B23,IF(F10&gt;100000,Исходный!B26))</f>
        <v>_________________________В.А.Фомин</v>
      </c>
      <c r="F3" s="58"/>
      <c r="G3" s="58"/>
      <c r="H3" s="58"/>
    </row>
    <row r="5" spans="1:11" ht="30.75" customHeight="1" x14ac:dyDescent="0.25">
      <c r="A5" s="60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0"/>
      <c r="C5" s="60"/>
      <c r="D5" s="60"/>
      <c r="E5" s="60"/>
      <c r="F5" s="60"/>
      <c r="G5" s="60"/>
      <c r="H5" s="60"/>
      <c r="I5" s="15"/>
      <c r="J5" s="15"/>
      <c r="K5" s="15"/>
    </row>
    <row r="6" spans="1:11" ht="9.75" customHeight="1" x14ac:dyDescent="0.25"/>
    <row r="7" spans="1:11" ht="17.25" customHeight="1" x14ac:dyDescent="0.25">
      <c r="A7" s="61" t="s">
        <v>7</v>
      </c>
      <c r="B7" s="61"/>
      <c r="C7" s="61"/>
      <c r="D7" s="61"/>
      <c r="E7" s="61"/>
      <c r="F7" s="61"/>
      <c r="G7" s="61"/>
      <c r="H7" s="61"/>
    </row>
    <row r="8" spans="1:11" ht="12.75" customHeight="1" x14ac:dyDescent="0.25">
      <c r="A8" s="57" t="s">
        <v>16</v>
      </c>
      <c r="B8" s="57"/>
      <c r="C8" s="57"/>
      <c r="D8" s="57"/>
      <c r="E8" s="57"/>
      <c r="F8" s="57"/>
      <c r="G8" s="57"/>
      <c r="H8" s="57"/>
    </row>
    <row r="9" spans="1:11" ht="10.5" customHeight="1" x14ac:dyDescent="0.25"/>
    <row r="10" spans="1:11" x14ac:dyDescent="0.25">
      <c r="D10" s="16" t="s">
        <v>24</v>
      </c>
      <c r="E10" s="16"/>
      <c r="F10" s="51">
        <f>H39</f>
        <v>26652.896000000001</v>
      </c>
      <c r="G10" s="51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2" t="s">
        <v>14</v>
      </c>
      <c r="B12" s="52" t="s">
        <v>26</v>
      </c>
      <c r="C12" s="52" t="s">
        <v>0</v>
      </c>
      <c r="D12" s="54" t="s">
        <v>21</v>
      </c>
      <c r="E12" s="55"/>
      <c r="F12" s="55"/>
      <c r="G12" s="55"/>
      <c r="H12" s="56"/>
    </row>
    <row r="13" spans="1:11" ht="31.5" customHeight="1" x14ac:dyDescent="0.25">
      <c r="A13" s="53"/>
      <c r="B13" s="53"/>
      <c r="C13" s="53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hidden="1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hidden="1" customHeight="1" x14ac:dyDescent="0.25">
      <c r="A16" s="19"/>
      <c r="B16" s="19" t="s">
        <v>39</v>
      </c>
      <c r="C16" s="3" t="s">
        <v>11</v>
      </c>
      <c r="D16" s="14">
        <v>50</v>
      </c>
      <c r="E16" s="14">
        <v>50</v>
      </c>
      <c r="F16" s="14">
        <v>0</v>
      </c>
      <c r="G16" s="14">
        <v>0</v>
      </c>
      <c r="H16" s="14">
        <f>SUM(D16:G16)</f>
        <v>100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50</v>
      </c>
      <c r="E17" s="14">
        <v>50</v>
      </c>
      <c r="F17" s="14">
        <v>0</v>
      </c>
      <c r="G17" s="14">
        <v>0</v>
      </c>
      <c r="H17" s="14">
        <f>SUM(D17:G17)</f>
        <v>100</v>
      </c>
      <c r="I17" s="6"/>
      <c r="J17" s="6"/>
    </row>
    <row r="18" spans="1:10" ht="15.75" hidden="1" customHeight="1" x14ac:dyDescent="0.25">
      <c r="A18" s="19"/>
      <c r="B18" s="19"/>
      <c r="C18" s="3" t="s">
        <v>29</v>
      </c>
      <c r="D18" s="14">
        <f>SUM(D16:D17)</f>
        <v>100</v>
      </c>
      <c r="E18" s="14">
        <f>SUM(E16:E17)</f>
        <v>100</v>
      </c>
      <c r="F18" s="14">
        <f>SUM(F16:F17)</f>
        <v>0</v>
      </c>
      <c r="G18" s="14">
        <f>SUM(G16:G17)</f>
        <v>0</v>
      </c>
      <c r="H18" s="14">
        <f>SUM(H16:H17)</f>
        <v>200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f>D18/100*1.5</f>
        <v>1.5</v>
      </c>
      <c r="E19" s="14">
        <f>E18/100*1.5</f>
        <v>1.5</v>
      </c>
      <c r="F19" s="14"/>
      <c r="G19" s="14"/>
      <c r="H19" s="14">
        <f>H18/100*1.5</f>
        <v>3</v>
      </c>
      <c r="I19" s="6"/>
      <c r="J19" s="6"/>
    </row>
    <row r="20" spans="1:10" ht="15.75" hidden="1" customHeight="1" x14ac:dyDescent="0.25">
      <c r="A20" s="19"/>
      <c r="B20" s="19"/>
      <c r="C20" s="3" t="s">
        <v>31</v>
      </c>
      <c r="D20" s="14">
        <f>D18/100*3.3</f>
        <v>3.3</v>
      </c>
      <c r="E20" s="14">
        <f>E18/100*3.3</f>
        <v>3.3</v>
      </c>
      <c r="F20" s="14"/>
      <c r="G20" s="14"/>
      <c r="H20" s="14">
        <f>H18/100*3.3</f>
        <v>6.6</v>
      </c>
      <c r="I20" s="6"/>
      <c r="J20" s="6"/>
    </row>
    <row r="21" spans="1:10" ht="15.75" hidden="1" customHeight="1" x14ac:dyDescent="0.25">
      <c r="A21" s="19"/>
      <c r="B21" s="19"/>
      <c r="C21" s="3" t="s">
        <v>32</v>
      </c>
      <c r="D21" s="14">
        <f>SUM(D18:D20)</f>
        <v>104.8</v>
      </c>
      <c r="E21" s="14">
        <f>SUM(E18:E20)</f>
        <v>104.8</v>
      </c>
      <c r="F21" s="14">
        <f>SUM(F18:F20)</f>
        <v>0</v>
      </c>
      <c r="G21" s="14">
        <f>SUM(G18:G20)</f>
        <v>0</v>
      </c>
      <c r="H21" s="14">
        <f>SUM(H18:H20)</f>
        <v>209.6</v>
      </c>
      <c r="I21" s="6"/>
      <c r="J21" s="6"/>
    </row>
    <row r="22" spans="1:10" ht="15.75" hidden="1" customHeight="1" x14ac:dyDescent="0.25">
      <c r="A22" s="19"/>
      <c r="B22" s="19"/>
      <c r="C22" s="3" t="s">
        <v>22</v>
      </c>
      <c r="D22" s="14"/>
      <c r="E22" s="14"/>
      <c r="F22" s="14"/>
      <c r="G22" s="14"/>
      <c r="H22" s="14">
        <f>H21/100*18</f>
        <v>37.728000000000002</v>
      </c>
      <c r="I22" s="6"/>
      <c r="J22" s="6"/>
    </row>
    <row r="23" spans="1:10" s="4" customFormat="1" ht="15.75" hidden="1" customHeight="1" x14ac:dyDescent="0.25">
      <c r="A23" s="20"/>
      <c r="B23" s="20"/>
      <c r="C23" s="9" t="s">
        <v>33</v>
      </c>
      <c r="D23" s="21"/>
      <c r="E23" s="21"/>
      <c r="F23" s="21"/>
      <c r="G23" s="21"/>
      <c r="H23" s="21">
        <f>SUM(H21:H22)</f>
        <v>247.328</v>
      </c>
      <c r="I23" s="17"/>
      <c r="J23" s="17"/>
    </row>
    <row r="24" spans="1:10" ht="15.75" customHeight="1" x14ac:dyDescent="0.25">
      <c r="A24" s="10">
        <v>1</v>
      </c>
      <c r="B24" s="10"/>
      <c r="C24" s="18" t="s">
        <v>34</v>
      </c>
      <c r="D24" s="5"/>
      <c r="E24" s="5"/>
      <c r="F24" s="5"/>
      <c r="G24" s="5"/>
      <c r="H24" s="5"/>
      <c r="I24" s="6"/>
      <c r="J24" s="6"/>
    </row>
    <row r="25" spans="1:10" ht="15" customHeight="1" x14ac:dyDescent="0.25">
      <c r="A25" s="19"/>
      <c r="B25" s="19" t="s">
        <v>35</v>
      </c>
      <c r="C25" s="3" t="s">
        <v>78</v>
      </c>
      <c r="D25" s="14"/>
      <c r="E25" s="14"/>
      <c r="F25" s="14"/>
      <c r="G25" s="37">
        <v>1391</v>
      </c>
      <c r="H25" s="37">
        <f>SUM(D25:G25)</f>
        <v>1391</v>
      </c>
      <c r="I25" s="6"/>
      <c r="J25" s="6"/>
    </row>
    <row r="26" spans="1:10" ht="27" hidden="1" customHeight="1" x14ac:dyDescent="0.25">
      <c r="A26" s="19"/>
      <c r="B26" s="19" t="s">
        <v>35</v>
      </c>
      <c r="C26" s="3" t="s">
        <v>36</v>
      </c>
      <c r="D26" s="14"/>
      <c r="E26" s="14"/>
      <c r="F26" s="14"/>
      <c r="G26" s="37">
        <f>500/1.18</f>
        <v>423.72881355932208</v>
      </c>
      <c r="H26" s="37">
        <f>SUM(D26:G26)</f>
        <v>423.72881355932208</v>
      </c>
      <c r="I26" s="6"/>
      <c r="J26" s="6"/>
    </row>
    <row r="27" spans="1:10" ht="15.75" customHeight="1" x14ac:dyDescent="0.25">
      <c r="A27" s="19"/>
      <c r="B27" s="19"/>
      <c r="C27" s="3" t="s">
        <v>29</v>
      </c>
      <c r="D27" s="14"/>
      <c r="E27" s="14"/>
      <c r="F27" s="14"/>
      <c r="G27" s="37">
        <f>G25</f>
        <v>1391</v>
      </c>
      <c r="H27" s="37">
        <f>H25</f>
        <v>1391</v>
      </c>
      <c r="I27" s="6"/>
      <c r="J27" s="6"/>
    </row>
    <row r="28" spans="1:10" ht="15.75" customHeight="1" x14ac:dyDescent="0.25">
      <c r="A28" s="19"/>
      <c r="B28" s="19"/>
      <c r="C28" s="3" t="s">
        <v>22</v>
      </c>
      <c r="D28" s="14"/>
      <c r="E28" s="14"/>
      <c r="F28" s="14"/>
      <c r="G28" s="37"/>
      <c r="H28" s="37">
        <f>H27/100*18</f>
        <v>250.38</v>
      </c>
      <c r="I28" s="6"/>
      <c r="J28" s="6"/>
    </row>
    <row r="29" spans="1:10" s="4" customFormat="1" ht="15.75" customHeight="1" x14ac:dyDescent="0.25">
      <c r="A29" s="22"/>
      <c r="B29" s="20"/>
      <c r="C29" s="9" t="s">
        <v>37</v>
      </c>
      <c r="D29" s="21"/>
      <c r="E29" s="21"/>
      <c r="F29" s="21"/>
      <c r="G29" s="38"/>
      <c r="H29" s="38">
        <f>SUM(H27:H28)</f>
        <v>1641.38</v>
      </c>
      <c r="I29" s="17"/>
      <c r="J29" s="17"/>
    </row>
    <row r="30" spans="1:10" s="23" customFormat="1" ht="15.75" customHeight="1" x14ac:dyDescent="0.25">
      <c r="A30" s="1">
        <v>2</v>
      </c>
      <c r="B30" s="10"/>
      <c r="C30" s="18" t="s">
        <v>38</v>
      </c>
      <c r="D30" s="5"/>
      <c r="E30" s="5"/>
      <c r="F30" s="5"/>
      <c r="G30" s="39"/>
      <c r="H30" s="39"/>
      <c r="I30" s="6"/>
      <c r="J30" s="6"/>
    </row>
    <row r="31" spans="1:10" s="23" customFormat="1" ht="15.75" customHeight="1" x14ac:dyDescent="0.25">
      <c r="A31" s="2"/>
      <c r="B31" s="19" t="s">
        <v>79</v>
      </c>
      <c r="C31" s="3" t="s">
        <v>12</v>
      </c>
      <c r="D31" s="14"/>
      <c r="E31" s="14"/>
      <c r="F31" s="14"/>
      <c r="G31" s="37">
        <v>21196.2</v>
      </c>
      <c r="H31" s="37">
        <f>SUM(D31:G31)</f>
        <v>21196.2</v>
      </c>
      <c r="I31" s="6"/>
      <c r="J31" s="6"/>
    </row>
    <row r="32" spans="1:10" s="23" customFormat="1" ht="15.75" hidden="1" customHeight="1" x14ac:dyDescent="0.25">
      <c r="A32" s="2"/>
      <c r="B32" s="19" t="s">
        <v>35</v>
      </c>
      <c r="C32" s="3" t="s">
        <v>41</v>
      </c>
      <c r="D32" s="14"/>
      <c r="E32" s="14"/>
      <c r="F32" s="14"/>
      <c r="G32" s="37">
        <f>1000/1.18</f>
        <v>847.45762711864415</v>
      </c>
      <c r="H32" s="37">
        <f>SUM(D32:G32)</f>
        <v>847.45762711864415</v>
      </c>
      <c r="I32" s="6"/>
      <c r="J32" s="6"/>
    </row>
    <row r="33" spans="1:10" s="23" customFormat="1" ht="15.75" hidden="1" customHeight="1" x14ac:dyDescent="0.25">
      <c r="A33" s="2"/>
      <c r="B33" s="19" t="s">
        <v>35</v>
      </c>
      <c r="C33" s="3" t="s">
        <v>42</v>
      </c>
      <c r="D33" s="14"/>
      <c r="E33" s="14"/>
      <c r="F33" s="14"/>
      <c r="G33" s="37">
        <f>500/1.18</f>
        <v>423.72881355932208</v>
      </c>
      <c r="H33" s="37">
        <f>SUM(D33:G33)</f>
        <v>423.72881355932208</v>
      </c>
      <c r="I33" s="6"/>
      <c r="J33" s="6"/>
    </row>
    <row r="34" spans="1:10" s="23" customFormat="1" ht="15.75" customHeight="1" x14ac:dyDescent="0.25">
      <c r="A34" s="2"/>
      <c r="B34" s="19"/>
      <c r="C34" s="3" t="s">
        <v>29</v>
      </c>
      <c r="D34" s="14"/>
      <c r="E34" s="14"/>
      <c r="F34" s="14"/>
      <c r="G34" s="37">
        <f>G31</f>
        <v>21196.2</v>
      </c>
      <c r="H34" s="37">
        <f>H31</f>
        <v>21196.2</v>
      </c>
      <c r="I34" s="6"/>
      <c r="J34" s="6"/>
    </row>
    <row r="35" spans="1:10" s="23" customFormat="1" ht="15.75" customHeight="1" x14ac:dyDescent="0.25">
      <c r="A35" s="2"/>
      <c r="B35" s="19"/>
      <c r="C35" s="3" t="s">
        <v>22</v>
      </c>
      <c r="D35" s="14"/>
      <c r="E35" s="14"/>
      <c r="F35" s="14"/>
      <c r="G35" s="14"/>
      <c r="H35" s="14">
        <f>H34/100*18</f>
        <v>3815.3160000000003</v>
      </c>
      <c r="I35" s="6"/>
      <c r="J35" s="6"/>
    </row>
    <row r="36" spans="1:10" s="4" customFormat="1" ht="15.75" customHeight="1" x14ac:dyDescent="0.25">
      <c r="A36" s="22"/>
      <c r="B36" s="20"/>
      <c r="C36" s="9" t="s">
        <v>43</v>
      </c>
      <c r="D36" s="21"/>
      <c r="E36" s="21"/>
      <c r="F36" s="21"/>
      <c r="G36" s="21"/>
      <c r="H36" s="21">
        <f>SUM(H34:H35)</f>
        <v>25011.516</v>
      </c>
      <c r="I36" s="17"/>
      <c r="J36" s="17"/>
    </row>
    <row r="37" spans="1:10" ht="15.75" customHeight="1" x14ac:dyDescent="0.25">
      <c r="A37" s="46" t="s">
        <v>6</v>
      </c>
      <c r="B37" s="47"/>
      <c r="C37" s="47"/>
      <c r="D37" s="7">
        <f t="shared" ref="D37:G37" si="0">SUM(D15)</f>
        <v>0</v>
      </c>
      <c r="E37" s="7">
        <f t="shared" si="0"/>
        <v>0</v>
      </c>
      <c r="F37" s="7">
        <f t="shared" si="0"/>
        <v>0</v>
      </c>
      <c r="G37" s="7">
        <f t="shared" si="0"/>
        <v>0</v>
      </c>
      <c r="H37" s="7">
        <f>H27+H34</f>
        <v>22587.200000000001</v>
      </c>
      <c r="I37" s="6"/>
      <c r="J37" s="6"/>
    </row>
    <row r="38" spans="1:10" ht="15.75" customHeight="1" x14ac:dyDescent="0.25">
      <c r="A38" s="46" t="s">
        <v>22</v>
      </c>
      <c r="B38" s="47"/>
      <c r="C38" s="48"/>
      <c r="D38" s="7"/>
      <c r="E38" s="7"/>
      <c r="F38" s="7"/>
      <c r="G38" s="7"/>
      <c r="H38" s="7">
        <f>H37/100*18</f>
        <v>4065.6960000000004</v>
      </c>
      <c r="I38" s="6"/>
      <c r="J38" s="6"/>
    </row>
    <row r="39" spans="1:10" ht="15.75" customHeight="1" x14ac:dyDescent="0.25">
      <c r="A39" s="46" t="s">
        <v>23</v>
      </c>
      <c r="B39" s="47"/>
      <c r="C39" s="48"/>
      <c r="D39" s="7"/>
      <c r="E39" s="7"/>
      <c r="F39" s="7"/>
      <c r="G39" s="7"/>
      <c r="H39" s="7">
        <f>SUM(H37:H38)</f>
        <v>26652.896000000001</v>
      </c>
      <c r="I39" s="6"/>
      <c r="J39" s="6"/>
    </row>
    <row r="40" spans="1:10" ht="5.25" customHeight="1" x14ac:dyDescent="0.25"/>
    <row r="42" spans="1:10" x14ac:dyDescent="0.25">
      <c r="B42" t="s">
        <v>15</v>
      </c>
      <c r="D42" s="24"/>
      <c r="E42" s="24"/>
      <c r="G42" t="s">
        <v>9</v>
      </c>
    </row>
    <row r="44" spans="1:10" x14ac:dyDescent="0.25">
      <c r="A44" t="s">
        <v>75</v>
      </c>
    </row>
  </sheetData>
  <mergeCells count="16">
    <mergeCell ref="A37:C37"/>
    <mergeCell ref="A38:C38"/>
    <mergeCell ref="A39:C39"/>
    <mergeCell ref="A5:H5"/>
    <mergeCell ref="E2:H2"/>
    <mergeCell ref="A12:A13"/>
    <mergeCell ref="B12:B13"/>
    <mergeCell ref="C12:C13"/>
    <mergeCell ref="D12:H12"/>
    <mergeCell ref="E1:H1"/>
    <mergeCell ref="E3:H3"/>
    <mergeCell ref="F10:G10"/>
    <mergeCell ref="A7:H7"/>
    <mergeCell ref="A8:H8"/>
    <mergeCell ref="A2:C2"/>
    <mergeCell ref="A3:C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44791666666666669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Исходный</vt:lpstr>
      <vt:lpstr>СМР</vt:lpstr>
      <vt:lpstr>СМР с  непр</vt:lpstr>
      <vt:lpstr>СМР с и зимн</vt:lpstr>
      <vt:lpstr>СМР, ПИР</vt:lpstr>
      <vt:lpstr>СМР, СИД</vt:lpstr>
      <vt:lpstr>СМР, СИД, ПИР</vt:lpstr>
      <vt:lpstr>Подрядчик</vt:lpstr>
      <vt:lpstr>ФИО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Попова Марина Валерьевна</cp:lastModifiedBy>
  <cp:lastPrinted>2020-10-30T08:11:38Z</cp:lastPrinted>
  <dcterms:created xsi:type="dcterms:W3CDTF">2015-09-28T09:43:35Z</dcterms:created>
  <dcterms:modified xsi:type="dcterms:W3CDTF">2021-04-15T06:26:19Z</dcterms:modified>
</cp:coreProperties>
</file>