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35" windowWidth="26895" windowHeight="10770" tabRatio="601" firstSheet="1" activeTab="1"/>
  </bookViews>
  <sheets>
    <sheet name="нч" sheetId="1" state="hidden" r:id="rId1"/>
    <sheet name="2023" sheetId="2" r:id="rId2"/>
    <sheet name="1_2_95" sheetId="3" state="hidden" r:id="rId3"/>
  </sheets>
  <definedNames>
    <definedName name="_xlnm.Print_Area" localSheetId="1">'2023'!$A$1:$D$373</definedName>
    <definedName name="_xlnm.Print_Area" localSheetId="0">'нч'!$A$344:$D$388</definedName>
  </definedNames>
  <calcPr fullCalcOnLoad="1"/>
</workbook>
</file>

<file path=xl/sharedStrings.xml><?xml version="1.0" encoding="utf-8"?>
<sst xmlns="http://schemas.openxmlformats.org/spreadsheetml/2006/main" count="1802" uniqueCount="488">
  <si>
    <t/>
  </si>
  <si>
    <t>NN пп</t>
  </si>
  <si>
    <t>-"-</t>
  </si>
  <si>
    <t>То же без покрытия</t>
  </si>
  <si>
    <t>св.500 мм</t>
  </si>
  <si>
    <t>ввод</t>
  </si>
  <si>
    <t>101-200 мм</t>
  </si>
  <si>
    <t>201-300 мм</t>
  </si>
  <si>
    <t>301-500 мм</t>
  </si>
  <si>
    <t>Замена сальниковой набивки на задвижке</t>
  </si>
  <si>
    <t>крышка</t>
  </si>
  <si>
    <t>ковер</t>
  </si>
  <si>
    <t>101-300 мм</t>
  </si>
  <si>
    <t>Замена крышки газового колодца</t>
  </si>
  <si>
    <t>Окраска ковера</t>
  </si>
  <si>
    <t>Разряд</t>
  </si>
  <si>
    <t>ФОТ</t>
  </si>
  <si>
    <t>Часовой ФОТ</t>
  </si>
  <si>
    <t>4,5(св)</t>
  </si>
  <si>
    <t>3,5(св)</t>
  </si>
  <si>
    <t>1</t>
  </si>
  <si>
    <t>Замена крышки  ковера</t>
  </si>
  <si>
    <t>Установка подушки под ковер</t>
  </si>
  <si>
    <t>подушка</t>
  </si>
  <si>
    <t>прокладка</t>
  </si>
  <si>
    <t>задвижка</t>
  </si>
  <si>
    <t>*</t>
  </si>
  <si>
    <t>165,14 -201,64</t>
  </si>
  <si>
    <t>Наименование работ и газового оборудования</t>
  </si>
  <si>
    <t>Единица измерения</t>
  </si>
  <si>
    <t>Договорная цена для предприятий без НДС, руб.</t>
  </si>
  <si>
    <t>4</t>
  </si>
  <si>
    <t xml:space="preserve">Восстановление поврежденных мест противокоррозийного </t>
  </si>
  <si>
    <t>битумного весьма усиленного покрытия газопровода в ручную</t>
  </si>
  <si>
    <t xml:space="preserve"> </t>
  </si>
  <si>
    <t>1 м2</t>
  </si>
  <si>
    <t>Диаметр газопровода до 100 мм</t>
  </si>
  <si>
    <t>пм</t>
  </si>
  <si>
    <t>- " - от 101 мм до 200 мм</t>
  </si>
  <si>
    <t>- " -</t>
  </si>
  <si>
    <t>- " - от 201 мм до 300 мм</t>
  </si>
  <si>
    <t>- " - от 301 мм до 400 мм</t>
  </si>
  <si>
    <t>- " - от 401 мм до 500 мм</t>
  </si>
  <si>
    <t>- " - от 501 мм до 700 мм</t>
  </si>
  <si>
    <t>Врезка "катушки" на наружном газопроводе низкого давления</t>
  </si>
  <si>
    <t>Врезка "катушки" на г / проводе с отключением в газовом колодце</t>
  </si>
  <si>
    <t>(газопровод - 1 км, отключающее устройство в ГК - 1 шт., "катушка" - 1шт.)</t>
  </si>
  <si>
    <t>"врезка"</t>
  </si>
  <si>
    <t>3-4, 5св</t>
  </si>
  <si>
    <t>4, 5св</t>
  </si>
  <si>
    <t>ГК</t>
  </si>
  <si>
    <t>1000 пм</t>
  </si>
  <si>
    <t>3-4</t>
  </si>
  <si>
    <t>"катушка"</t>
  </si>
  <si>
    <t>3, 5св</t>
  </si>
  <si>
    <t xml:space="preserve">Врезка "катушки" на г / проводе с отключением надземной </t>
  </si>
  <si>
    <t>(газопровод - 1 км, газовая задвижка - 1 шт., "катушка" - 1шт.)</t>
  </si>
  <si>
    <t>ГЗ</t>
  </si>
  <si>
    <t>Обрезка недействующего газопровода (газового ввода надземного)</t>
  </si>
  <si>
    <t>при Ду газопровода до 200 мм</t>
  </si>
  <si>
    <t>- " - от 201 мм до 500 мм</t>
  </si>
  <si>
    <t>При подземном газопроводе применять К=1,2</t>
  </si>
  <si>
    <t xml:space="preserve">Замена задвижки на газопроводе </t>
  </si>
  <si>
    <t>при Ду до 100 мм</t>
  </si>
  <si>
    <t>при работе в ГК применять К=1,4; плата за работу, связанную со снятием перекрытия ГК,</t>
  </si>
  <si>
    <t xml:space="preserve"> взимается дополнительно</t>
  </si>
  <si>
    <t>при Ду газопровода до 100 мм</t>
  </si>
  <si>
    <t>при работе в ГК применять К=1,7</t>
  </si>
  <si>
    <t>Окраска ранее окрашенных задвижек при нормальных условиях работы</t>
  </si>
  <si>
    <t>Окраска ранее окрашенных надземных газопроводов</t>
  </si>
  <si>
    <t xml:space="preserve"> одна  окраска</t>
  </si>
  <si>
    <t xml:space="preserve"> две окраски</t>
  </si>
  <si>
    <t>Замена  ковера  при асфальтобетонном покрытии</t>
  </si>
  <si>
    <t>при булыжном применять К=0,9</t>
  </si>
  <si>
    <t>Замена изоляционных втулок во фланцевых соединениях газопровода</t>
  </si>
  <si>
    <t>Сверление отверстия в крышке газового колодца</t>
  </si>
  <si>
    <t xml:space="preserve">Замена кронштейна на фасадном газопроводе </t>
  </si>
  <si>
    <t>Замена кронштейна на фасадном газопроводе с использованием цанг:</t>
  </si>
  <si>
    <t>Диаметр газопровода до 80 мм</t>
  </si>
  <si>
    <t>кронштейн</t>
  </si>
  <si>
    <t>3, 4св</t>
  </si>
  <si>
    <t xml:space="preserve">- " - свыше 81 мм  </t>
  </si>
  <si>
    <t>Замена кронштейна на фасадном газопроводе с использованием дюбеля:</t>
  </si>
  <si>
    <t xml:space="preserve">- " - свыше 81 мм </t>
  </si>
  <si>
    <t>5</t>
  </si>
  <si>
    <t>(газопровод - 1 км, отключающее устройство в ГК - 1 шт.)</t>
  </si>
  <si>
    <t>отключение</t>
  </si>
  <si>
    <t>без потребителей:</t>
  </si>
  <si>
    <t>на каждое последующее отключающее устройство в ГК:</t>
  </si>
  <si>
    <t>на каждый последующий километр газопровода:</t>
  </si>
  <si>
    <t>на врезку каждой последующей "катушки":</t>
  </si>
  <si>
    <t>при наличие потребителей:</t>
  </si>
  <si>
    <t>на каждую последующую "катушку":</t>
  </si>
  <si>
    <t>задвижкой без потребителей:</t>
  </si>
  <si>
    <t>на каждую последующую газовую задвижку:</t>
  </si>
  <si>
    <t>задвижкой при наличие потребителей:</t>
  </si>
  <si>
    <t>Отключение г / провода низкого давления в газовом колодце:</t>
  </si>
  <si>
    <t>отключение каждого последующего газового колодца:</t>
  </si>
  <si>
    <t>отключение каждого последующего 1 км г / провода:</t>
  </si>
  <si>
    <t>(газопровод - 1 км)</t>
  </si>
  <si>
    <t>продувка каждого последующего 1 км г / провода:</t>
  </si>
  <si>
    <t>Испытание на прочность надземного г / провода низкого давления воздухом:</t>
  </si>
  <si>
    <t>испытание на прочность каждого последующего 1 км г / провода:</t>
  </si>
  <si>
    <t>испытание на плотность каждого последующего 1 км г / провода, после испытания на прочность:</t>
  </si>
  <si>
    <t>Испытание на плотность надземного г / провода низкого давления воздухом:</t>
  </si>
  <si>
    <t>испытание на плотность каждого последующего 1 км г / провода:</t>
  </si>
  <si>
    <t>Повторный пуск газа в  г / провод низкого давления:</t>
  </si>
  <si>
    <t>пуск</t>
  </si>
  <si>
    <t>подключение каждого последующего газового колодца:</t>
  </si>
  <si>
    <t>пуск каждого последующего 1 км г / провода:</t>
  </si>
  <si>
    <t xml:space="preserve">Ремонт задвижки на газопроводе </t>
  </si>
  <si>
    <t xml:space="preserve">Замена прокладки во фланцевом соединение на газопроводе </t>
  </si>
  <si>
    <t>при работе в ГК применять К=1,4;</t>
  </si>
  <si>
    <t>при работе в ГК применять К=2</t>
  </si>
  <si>
    <t xml:space="preserve">Замена перекрытия газового колодца </t>
  </si>
  <si>
    <t>- при булыжном покрытие</t>
  </si>
  <si>
    <t>перекрытие</t>
  </si>
  <si>
    <t>- при грунтовом покрытие</t>
  </si>
  <si>
    <t>контроль</t>
  </si>
  <si>
    <t>фланец</t>
  </si>
  <si>
    <t>- при асфальтобетонном покрытие</t>
  </si>
  <si>
    <t>снижение давления газа на каждый последующий 1 км г / провода:</t>
  </si>
  <si>
    <t>Контроль над давлением газа при проведении ремонтных  работ</t>
  </si>
  <si>
    <t>Заделка концов футляра на газопроводе</t>
  </si>
  <si>
    <t>шт.</t>
  </si>
  <si>
    <t>Диаметр газопровода до 32 мм</t>
  </si>
  <si>
    <t>- " - от 33 мм до 60 мм</t>
  </si>
  <si>
    <t>"узел"</t>
  </si>
  <si>
    <t>Врезка кранового узла в газопровод:</t>
  </si>
  <si>
    <t>Заливка битумом футляра на выходе из земли</t>
  </si>
  <si>
    <t>Отключение г / провода низкого давления газовой задвижкой:</t>
  </si>
  <si>
    <t>Испытание на плотность надземного г / провода низкого давления воздухом, после испытания</t>
  </si>
  <si>
    <t>При окраске с приставной лестницы применять коэффициент - 1,2</t>
  </si>
  <si>
    <t>(газопровод - 1 км, отключающее устройство ГЗ - 1 шт.)</t>
  </si>
  <si>
    <t>Отключение г / провода среднего давления в газовом колодце:</t>
  </si>
  <si>
    <t>Снижение давления газа в газопроводе с 0,3 МПа до 0,1 МПа:</t>
  </si>
  <si>
    <t>Снижение давления газа в газопроводе с 0,3 МПа до 200 даПа:</t>
  </si>
  <si>
    <t>Снижение давления газа в газопроводе с 300 даПа до 150 даПа:</t>
  </si>
  <si>
    <t>(газопровод - 1 км, давление - 0,1 МПа, время - 1 час)</t>
  </si>
  <si>
    <t>(газопровод - 1 км, давление - 0,3 МПа, время - 1 час)</t>
  </si>
  <si>
    <t>отключение каждой последующей газовой задвижкой:</t>
  </si>
  <si>
    <t>Отключение г / провода среднего давления газовой задвижкой:</t>
  </si>
  <si>
    <t>Продувка г / провода воздухом:</t>
  </si>
  <si>
    <t>Повторный пуск газа в  г / провод среднего давления:</t>
  </si>
  <si>
    <t>Окраска ранее окрашенных газовых кранов на подземных г/проводах среднего</t>
  </si>
  <si>
    <t>и высокого давления при Ду свыше 500 мм</t>
  </si>
  <si>
    <t>ГКр</t>
  </si>
  <si>
    <r>
      <t>на прочность:</t>
    </r>
    <r>
      <rPr>
        <sz val="9"/>
        <rFont val="Times New Roman"/>
        <family val="1"/>
      </rPr>
      <t xml:space="preserve"> (газопровод - 1 км, давление - 0,1 МПа, время - 1 час)</t>
    </r>
  </si>
  <si>
    <t>подключение каждой последующей газовой задвижки:</t>
  </si>
  <si>
    <t xml:space="preserve"> Глава   2                       ТЕКУЩИЙ И КАПИТАЛЬНЫЙ РЕМОНТ ГАЗОПРОВОДОВ</t>
  </si>
  <si>
    <t>1.19</t>
  </si>
  <si>
    <t>1.93</t>
  </si>
  <si>
    <t>2.69</t>
  </si>
  <si>
    <t>1.16</t>
  </si>
  <si>
    <t>2.11</t>
  </si>
  <si>
    <t>3.66</t>
  </si>
  <si>
    <t>2.19</t>
  </si>
  <si>
    <t>3.22</t>
  </si>
  <si>
    <t>4.28</t>
  </si>
  <si>
    <t>8</t>
  </si>
  <si>
    <t>2.51</t>
  </si>
  <si>
    <t>3.14</t>
  </si>
  <si>
    <t>6.28</t>
  </si>
  <si>
    <t>8.89</t>
  </si>
  <si>
    <t>10.96</t>
  </si>
  <si>
    <t>14.44</t>
  </si>
  <si>
    <t>2.07</t>
  </si>
  <si>
    <t>2.95</t>
  </si>
  <si>
    <t>5.35</t>
  </si>
  <si>
    <t>0.26</t>
  </si>
  <si>
    <t>0.82</t>
  </si>
  <si>
    <t>2.4</t>
  </si>
  <si>
    <t>5.2</t>
  </si>
  <si>
    <t>7.77</t>
  </si>
  <si>
    <t>14.99</t>
  </si>
  <si>
    <t>1.23</t>
  </si>
  <si>
    <t>1.8</t>
  </si>
  <si>
    <t>2.25</t>
  </si>
  <si>
    <t>0.47</t>
  </si>
  <si>
    <t>1.5</t>
  </si>
  <si>
    <t>4.39</t>
  </si>
  <si>
    <t>1.32</t>
  </si>
  <si>
    <t>2.24</t>
  </si>
  <si>
    <t>3.19</t>
  </si>
  <si>
    <t>2.42</t>
  </si>
  <si>
    <t>3.71</t>
  </si>
  <si>
    <t>5.04</t>
  </si>
  <si>
    <t>1.3</t>
  </si>
  <si>
    <t>1.58</t>
  </si>
  <si>
    <t>2.36</t>
  </si>
  <si>
    <t>22.73</t>
  </si>
  <si>
    <t>13.31</t>
  </si>
  <si>
    <t>9.15</t>
  </si>
  <si>
    <t>5.88</t>
  </si>
  <si>
    <t>4.17</t>
  </si>
  <si>
    <t>20.49</t>
  </si>
  <si>
    <t>3.96</t>
  </si>
  <si>
    <t>Ремонт опор наружного газопровода:</t>
  </si>
  <si>
    <t>опора</t>
  </si>
  <si>
    <t>Диаметр газопровода до 50 мм</t>
  </si>
  <si>
    <t>- " - от 51 мм до 100 мм</t>
  </si>
  <si>
    <t>- " - от 101 мм до 150 мм</t>
  </si>
  <si>
    <t>4.61</t>
  </si>
  <si>
    <t>6.93</t>
  </si>
  <si>
    <t>9.32</t>
  </si>
  <si>
    <t>14.08</t>
  </si>
  <si>
    <t>25.67</t>
  </si>
  <si>
    <t>Цена для внутрихозяйственного расчета, руб.</t>
  </si>
  <si>
    <t>При окраске с приставной лестницы применять коэффициент - 1,5</t>
  </si>
  <si>
    <t>при Ду газопровода до 50 мм</t>
  </si>
  <si>
    <t>51-100 мм</t>
  </si>
  <si>
    <t>201-400 мм</t>
  </si>
  <si>
    <t>401-700 мм</t>
  </si>
  <si>
    <t>Исправлено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</si>
  <si>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</si>
  <si>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</si>
  <si>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</si>
  <si>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</si>
  <si>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</si>
  <si>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</si>
  <si>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</si>
  <si>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</si>
  <si>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</si>
  <si>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</si>
  <si>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</si>
  <si>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</si>
  <si>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</si>
  <si>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</si>
  <si>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</si>
  <si>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</si>
  <si>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1.2.17.</t>
  </si>
  <si>
    <t>1.2.18.</t>
  </si>
  <si>
    <t>1.2.19.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</si>
  <si>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</si>
  <si>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</si>
  <si>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</si>
  <si>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</si>
  <si>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</si>
  <si>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</si>
  <si>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</si>
  <si>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</si>
  <si>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</si>
  <si>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</si>
  <si>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</si>
  <si>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</si>
  <si>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</si>
  <si>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</si>
  <si>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</si>
  <si>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</si>
  <si>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</si>
  <si>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</si>
  <si>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</si>
  <si>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</si>
  <si>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1.2.40.</t>
  </si>
  <si>
    <t>1.2.41.</t>
  </si>
  <si>
    <t>1.2.42.</t>
  </si>
  <si>
    <t>1.2.43.</t>
  </si>
  <si>
    <t>1.2.44.</t>
  </si>
  <si>
    <t>1.2.45.</t>
  </si>
  <si>
    <t>1.2.46.</t>
  </si>
  <si>
    <t>1.2.47.</t>
  </si>
  <si>
    <t>1.2.48.</t>
  </si>
  <si>
    <t>1.2.49.</t>
  </si>
  <si>
    <t>1.2.50.</t>
  </si>
  <si>
    <t>1.2.51.</t>
  </si>
  <si>
    <t>1.2.52.</t>
  </si>
  <si>
    <t>1.2.53.</t>
  </si>
  <si>
    <t>1.2.54.</t>
  </si>
  <si>
    <t>1.2.55.</t>
  </si>
  <si>
    <t>1.2.56.</t>
  </si>
  <si>
    <t>1.2.57.</t>
  </si>
  <si>
    <t>1.2.58.</t>
  </si>
  <si>
    <t>1.2.59.</t>
  </si>
  <si>
    <t>1.2.60.</t>
  </si>
  <si>
    <t>1.2.61.</t>
  </si>
  <si>
    <t>1.2.62.</t>
  </si>
  <si>
    <t>1.2.63.</t>
  </si>
  <si>
    <t>1.2.64.</t>
  </si>
  <si>
    <t>1.2.65.</t>
  </si>
  <si>
    <t>1.2.66.</t>
  </si>
  <si>
    <t>1.2.67.</t>
  </si>
  <si>
    <t>1.2.68.</t>
  </si>
  <si>
    <t>1.2.69.</t>
  </si>
  <si>
    <t>1.2.70.</t>
  </si>
  <si>
    <t>1.2.71.</t>
  </si>
  <si>
    <t>1.2.72.</t>
  </si>
  <si>
    <t>1.2.73</t>
  </si>
  <si>
    <t>1.2.74.</t>
  </si>
  <si>
    <t>1.2.75.</t>
  </si>
  <si>
    <t>1.2.76.</t>
  </si>
  <si>
    <t>1.2.77.</t>
  </si>
  <si>
    <t>1.2.78.</t>
  </si>
  <si>
    <t>1.2.79.</t>
  </si>
  <si>
    <t>1.2.80.</t>
  </si>
  <si>
    <t xml:space="preserve">    -"-</t>
  </si>
  <si>
    <t>То же Ду 51-100мм</t>
  </si>
  <si>
    <t>1.2.81</t>
  </si>
  <si>
    <r>
      <t>10 м</t>
    </r>
    <r>
      <rPr>
        <vertAlign val="superscript"/>
        <sz val="9"/>
        <rFont val="Times New Roman"/>
        <family val="1"/>
      </rPr>
      <t>3</t>
    </r>
  </si>
  <si>
    <t>- грунт 1 группы</t>
  </si>
  <si>
    <t>- грунт 2 группы</t>
  </si>
  <si>
    <t>- грунт 3 группы</t>
  </si>
  <si>
    <t>- грунт 4 группы</t>
  </si>
  <si>
    <t xml:space="preserve">Разработка грунта вручную </t>
  </si>
  <si>
    <r>
      <t>1 м</t>
    </r>
    <r>
      <rPr>
        <vertAlign val="superscript"/>
        <sz val="9"/>
        <rFont val="Times New Roman"/>
        <family val="1"/>
      </rPr>
      <t>3</t>
    </r>
  </si>
  <si>
    <r>
      <t>1 м</t>
    </r>
    <r>
      <rPr>
        <vertAlign val="superscript"/>
        <sz val="9"/>
        <rFont val="Times New Roman"/>
        <family val="1"/>
      </rPr>
      <t>2</t>
    </r>
  </si>
  <si>
    <t xml:space="preserve">Засыпка грунта с трамбовкой вручную </t>
  </si>
  <si>
    <t>- толщина слоя 50 мм</t>
  </si>
  <si>
    <t>- толщина слоя 70 мм</t>
  </si>
  <si>
    <t>- толщина слоя 100 мм</t>
  </si>
  <si>
    <t>- толщина слоя 130 мм</t>
  </si>
  <si>
    <t>1 пм</t>
  </si>
  <si>
    <r>
      <t>10 м</t>
    </r>
    <r>
      <rPr>
        <vertAlign val="superscript"/>
        <sz val="9"/>
        <rFont val="Times New Roman"/>
        <family val="1"/>
      </rPr>
      <t>2</t>
    </r>
  </si>
  <si>
    <t>Разработка грунта механизмами</t>
  </si>
  <si>
    <t>Устройство подвески (защитного короба)</t>
  </si>
  <si>
    <t>Разборка подвески (защитного короба)</t>
  </si>
  <si>
    <r>
      <t>- площадь сечения короба 0,1 м</t>
    </r>
    <r>
      <rPr>
        <vertAlign val="superscript"/>
        <sz val="9"/>
        <rFont val="Times New Roman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</si>
  <si>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</si>
  <si>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</si>
  <si>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"/>
        <family val="1"/>
      </rPr>
      <t>2</t>
    </r>
  </si>
  <si>
    <t>Устройство крепления котлована (траншеи)</t>
  </si>
  <si>
    <t>Разборка крепления котлована (траншеи)</t>
  </si>
  <si>
    <t>Разборка асфальтобетонного покрытия</t>
  </si>
  <si>
    <t>При разборке бетонного покрытия применять к ценам повышающий коэффициент - 3.</t>
  </si>
  <si>
    <t xml:space="preserve">Засыпка грунта механизмами </t>
  </si>
  <si>
    <t>1.2.82.</t>
  </si>
  <si>
    <t>1.2.83.</t>
  </si>
  <si>
    <t>1.2.84.</t>
  </si>
  <si>
    <t>1.2.85.</t>
  </si>
  <si>
    <t>1.2.86.</t>
  </si>
  <si>
    <t>1.2.87.</t>
  </si>
  <si>
    <t>1.2.88.</t>
  </si>
  <si>
    <t>1.2.89.</t>
  </si>
  <si>
    <t>1.2.90.</t>
  </si>
  <si>
    <r>
      <t>Изоляция узла врезки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газопровода</t>
    </r>
    <r>
      <rPr>
        <sz val="9"/>
        <rFont val="Times New Roman"/>
        <family val="1"/>
      </rPr>
      <t xml:space="preserve"> Ду до 50 мм</t>
    </r>
  </si>
  <si>
    <t>1.2.91.</t>
  </si>
  <si>
    <t>Восстановление бетонной отмостки (с подготовкой смеси)</t>
  </si>
  <si>
    <t xml:space="preserve"> и ремонту систем газоснабжения» Раздел 1 «Газопроводы надземные и подземные» </t>
  </si>
  <si>
    <t>Глава 2 «Текущий и капитальный ремонт газопроводов»</t>
  </si>
  <si>
    <t>Трудозатраты, чел.час</t>
  </si>
  <si>
    <t>Дополнение к «Прейскуранту на услуги ОАО «Челябинскгоргаз» по тех. обслуживанию</t>
  </si>
  <si>
    <t>1.2.92.</t>
  </si>
  <si>
    <t>КТ</t>
  </si>
  <si>
    <r>
      <t>10 м</t>
    </r>
    <r>
      <rPr>
        <vertAlign val="superscript"/>
        <sz val="9"/>
        <rFont val="Times New Roman Cyr"/>
        <family val="1"/>
      </rPr>
      <t>2</t>
    </r>
  </si>
  <si>
    <r>
      <t>10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</si>
  <si>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3</t>
    </r>
  </si>
  <si>
    <r>
      <t>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</si>
  <si>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0,1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</si>
  <si>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0,25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</si>
  <si>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0,4 м</t>
    </r>
    <r>
      <rPr>
        <vertAlign val="superscript"/>
        <sz val="9"/>
        <rFont val="Times New Roman Cyr"/>
        <family val="1"/>
      </rPr>
      <t>2</t>
    </r>
  </si>
  <si>
    <r>
      <t>- площадь сечения короба 0,6 м</t>
    </r>
    <r>
      <rPr>
        <vertAlign val="superscript"/>
        <sz val="9"/>
        <rFont val="Times New Roman Cyr"/>
        <family val="1"/>
      </rPr>
      <t>2</t>
    </r>
  </si>
  <si>
    <t xml:space="preserve">РАЗДЕЛ 1      ГАЗОПРОВОДЫ НАДЗЕМНЫЕ И ПОДЗЕМНЫЕ  </t>
  </si>
  <si>
    <t xml:space="preserve"> Глава   2       Текущий и капитальный ремонт газопроводов</t>
  </si>
  <si>
    <r>
      <t>Врезка "катушки" на г / проводе с отключением в газовом колодце без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</si>
  <si>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Диаметр газопровода от 101 мм до 200 мм</t>
  </si>
  <si>
    <t>Диаметр газопровода от 201 мм до 300 мм</t>
  </si>
  <si>
    <t>Врезка "катушки" на г / проводе с отключением в газовом колодце без потребителей на каждое последующее отключающее устройство в ГК:</t>
  </si>
  <si>
    <t>Врезка "катушки" на г / проводе с отключением в газовом колодце без потребителей на каждый последующий километр газопровода:</t>
  </si>
  <si>
    <t xml:space="preserve">Врезка каждой последующей  "катушки" на г / проводе с отключением в газовом колодце без потребителей: </t>
  </si>
  <si>
    <r>
      <t>Врезка "катушки" на г / проводе с отключением в газовом колодце при наличии потребителей</t>
    </r>
    <r>
      <rPr>
        <sz val="9"/>
        <rFont val="Times New Roman Cyr"/>
        <family val="0"/>
      </rPr>
      <t xml:space="preserve"> (газопровод - 1 км, отключающее устройство в ГК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</si>
  <si>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в газовом колодце при наличии потребителей на каждое последующее отключающее устройство в ГК:</t>
  </si>
  <si>
    <t>Врезка "катушки" на г / проводе с отключением в газовом колодце при наличии потребителей на каждый последующий километр газопровода:</t>
  </si>
  <si>
    <t>Врезка каждой последующей  "катушки" на г / проводе с отключением в газовом колодце при наличии потребителей:</t>
  </si>
  <si>
    <r>
      <t>Врезка "катушки" на г / проводе с отключением надземной задвижки без потребителей</t>
    </r>
    <r>
      <rPr>
        <sz val="9"/>
        <rFont val="Times New Roman Cyr"/>
        <family val="0"/>
      </rPr>
      <t xml:space="preserve"> (газопровод - 1 км, газовая задвижка - 1 шт., "катушка" - 1шт.)</t>
    </r>
    <r>
      <rPr>
        <b/>
        <sz val="9"/>
        <rFont val="Times New Roman CYR"/>
        <family val="0"/>
      </rPr>
      <t>:</t>
    </r>
  </si>
  <si>
    <t>Врезка "катушки" на г / проводе с отключением надземной задвижки без потребителей на каждую последующую газовую задвижку:</t>
  </si>
  <si>
    <t>Врезка "катушки" на г / проводе с отключением надземной задвижки без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</si>
  <si>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без потребителей:</t>
  </si>
  <si>
    <r>
      <t xml:space="preserve">Врезка "катушки" на г / проводе с отключением надземной задвижки при наличии потребителей </t>
    </r>
    <r>
      <rPr>
        <sz val="9"/>
        <rFont val="Times New Roman Cyr"/>
        <family val="0"/>
      </rPr>
      <t>(газопровод - 1 км, газовая задвижка - 1 шт., "катушка" - 1шт.)</t>
    </r>
    <r>
      <rPr>
        <b/>
        <sz val="9"/>
        <rFont val="Times New Roman Cyr"/>
        <family val="1"/>
      </rPr>
      <t>:</t>
    </r>
  </si>
  <si>
    <t>Врезка "катушки" на г / проводе с отключением надземной задвижки при наличии потребителей на каждую последующую газовую задвижку:</t>
  </si>
  <si>
    <t>Врезка "катушки" на г / проводе с отключением надземной задвижки при наличии потребителей на каждый последующий километр газопровода:</t>
  </si>
  <si>
    <t>Врезка каждой последующей "катушки" на г / проводе с отключением надземной задвижки при наличии потребителей :</t>
  </si>
  <si>
    <t>Диаметр газопровода от 33 мм до 60 мм</t>
  </si>
  <si>
    <r>
      <t xml:space="preserve">Обрезка недействующего газопровода (газового ввода надземного). </t>
    </r>
    <r>
      <rPr>
        <sz val="9"/>
        <rFont val="Times New Roman Cyr"/>
        <family val="0"/>
      </rPr>
      <t>При подземном газопроводе применять К=1,2</t>
    </r>
  </si>
  <si>
    <t>Диаметр газопровода до 200 мм</t>
  </si>
  <si>
    <t>Диаметр газопровода от 201 мм до 500 мм</t>
  </si>
  <si>
    <r>
      <t xml:space="preserve">Отключение г / провода низкого давления в газовом колодце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</si>
  <si>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в каждом последующем газовом колодце:</t>
  </si>
  <si>
    <t>Отключение каждого последующего 1 км г / провода низкого давления в газовом колодце:</t>
  </si>
  <si>
    <r>
      <t xml:space="preserve">Отключение г / провода низкого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</si>
  <si>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низкого давления каждой последующей газовой задвижкой:</t>
  </si>
  <si>
    <t>Отключение каждого последующего 1 км г / провода низкого давления газовой задвижкой:</t>
  </si>
  <si>
    <r>
      <t>Отключение г / провода среднего давления в газовом колодце</t>
    </r>
    <r>
      <rPr>
        <sz val="9"/>
        <rFont val="Times New Roman Cyr"/>
        <family val="0"/>
      </rPr>
      <t xml:space="preserve"> 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</si>
  <si>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в каждом последующем газовом колодце:</t>
  </si>
  <si>
    <t>Отключение каждого последующего 1 км г / провода среднего давления в газовом колодце:</t>
  </si>
  <si>
    <r>
      <t xml:space="preserve">Отключение г / провода среднего давления газовой задвижкой </t>
    </r>
    <r>
      <rPr>
        <sz val="9"/>
        <rFont val="Times New Roman Cyr"/>
        <family val="0"/>
      </rPr>
      <t>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</si>
  <si>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t>Отключение г / провода среднего давления каждой последующей газовой задвижкой:</t>
  </si>
  <si>
    <t>Отключение каждого последующего 1 км г / провода среднего давления газовой задвижкой:</t>
  </si>
  <si>
    <r>
      <t xml:space="preserve">Продувка г / провода воздухом </t>
    </r>
    <r>
      <rPr>
        <sz val="9"/>
        <rFont val="Times New Roman Cyr"/>
        <family val="0"/>
      </rPr>
      <t>(газопровод - 1 км)</t>
    </r>
    <r>
      <rPr>
        <b/>
        <sz val="9"/>
        <rFont val="Times New Roman Cyr"/>
        <family val="1"/>
      </rPr>
      <t>:</t>
    </r>
  </si>
  <si>
    <t>Продувка каждого последующего 1 км г / провода воздухом:</t>
  </si>
  <si>
    <r>
      <t xml:space="preserve">Испытание на прочность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- 0,3 МПа, время - 1 час)</t>
    </r>
    <r>
      <rPr>
        <b/>
        <sz val="9"/>
        <rFont val="Times New Roman Cyr"/>
        <family val="1"/>
      </rPr>
      <t>:</t>
    </r>
  </si>
  <si>
    <t>Испытание на прочность каждого последующего 1 км надземного г / провода низкого давления воздухом:</t>
  </si>
  <si>
    <r>
      <t xml:space="preserve">Испытание на плотность надземного г / провода низкого давления воздухом, после испытания на прочность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</si>
  <si>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 надземного г / провода низкого давления, после испытания на прочность:</t>
  </si>
  <si>
    <r>
      <t xml:space="preserve">Испытание на плотность надземного г / провода низкого давления воздухом </t>
    </r>
    <r>
      <rPr>
        <sz val="9"/>
        <rFont val="Times New Roman Cyr"/>
        <family val="0"/>
      </rPr>
      <t>(газопровод - 1 км, давление - 0,1 МПа, время - 1 час)</t>
    </r>
    <r>
      <rPr>
        <b/>
        <sz val="9"/>
        <rFont val="Times New Roman CYR"/>
        <family val="0"/>
      </rPr>
      <t>:</t>
    </r>
  </si>
  <si>
    <t>Испытание на плотность каждого последующего 1 км. надземного г / провода низкого давления воздухом:</t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</si>
  <si>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</si>
  <si>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</si>
  <si>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низкого давления </t>
    </r>
    <r>
      <rPr>
        <sz val="9"/>
        <rFont val="Times New Roman Cyr"/>
        <family val="0"/>
      </rPr>
      <t>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</si>
  <si>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</si>
  <si>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>Повторный пуск газа в  г / провод низкого давления</t>
    </r>
    <r>
      <rPr>
        <sz val="9"/>
        <rFont val="Times New Roman Cyr"/>
        <family val="0"/>
      </rPr>
      <t xml:space="preserve"> 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</si>
  <si>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(газопровод - 1 км, отключающее устройство в ГК - 1 шт.)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</si>
  <si>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(подключение каждого последующего газового колодца)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</si>
  <si>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(пуск каждого последующего 1 км г / провода)</t>
    </r>
    <r>
      <rPr>
        <b/>
        <sz val="9"/>
        <rFont val="Times New Roman Cyr"/>
        <family val="1"/>
      </rPr>
      <t>:</t>
    </r>
  </si>
  <si>
    <r>
      <t>Повторный пуск газа в  г / провод среднего давления</t>
    </r>
    <r>
      <rPr>
        <sz val="9"/>
        <rFont val="Times New Roman Cyr"/>
        <family val="0"/>
      </rPr>
      <t xml:space="preserve"> (газопровод - 1 км, отключающее устройство ГЗ - 1 шт.)</t>
    </r>
    <r>
      <rPr>
        <b/>
        <sz val="9"/>
        <rFont val="Times New Roman Cyr"/>
        <family val="1"/>
      </rPr>
      <t>:</t>
    </r>
  </si>
  <si>
    <r>
      <t xml:space="preserve">Повторный пуск газа в  г / провод среднего давления </t>
    </r>
    <r>
      <rPr>
        <sz val="9"/>
        <rFont val="Times New Roman Cyr"/>
        <family val="0"/>
      </rPr>
      <t>(подключение каждой последующей газовой задвижки)</t>
    </r>
    <r>
      <rPr>
        <b/>
        <sz val="9"/>
        <rFont val="Times New Roman Cyr"/>
        <family val="1"/>
      </rPr>
      <t>:</t>
    </r>
  </si>
  <si>
    <t xml:space="preserve"> Восстановление поврежденных мест противокоррозийного битумного весьма усиленного покрытия газопровода в ручную</t>
  </si>
  <si>
    <t>Диаметр газопровода от 301 мм до 400 мм</t>
  </si>
  <si>
    <t>Диаметр газопровода от 401 мм до 500 мм</t>
  </si>
  <si>
    <t>Диаметр газопровода от 501 мм до 700 мм</t>
  </si>
  <si>
    <t>при Ду 101-200 мм</t>
  </si>
  <si>
    <t>при Ду 201-300 мм</t>
  </si>
  <si>
    <t>при Ду газопровода 101-200 мм</t>
  </si>
  <si>
    <t>при Ду газопровода 201-300 мм</t>
  </si>
  <si>
    <t>при Ду газопровода 301-500 мм</t>
  </si>
  <si>
    <t>при Ду 301-500 мм</t>
  </si>
  <si>
    <t>при Ду св.500 мм</t>
  </si>
  <si>
    <t>при Ду газопровода 51-100 мм</t>
  </si>
  <si>
    <t>при Ду газопровода 201-400 мм</t>
  </si>
  <si>
    <t>при Ду газопровода 401-700 мм</t>
  </si>
  <si>
    <t>Окраска ранее окрашенных газовых кранов на подземных г/проводах среднего и высокого давления при Ду свыше 500 мм</t>
  </si>
  <si>
    <r>
      <rPr>
        <b/>
        <sz val="9"/>
        <rFont val="Times New Roman CYR"/>
        <family val="0"/>
      </rPr>
      <t xml:space="preserve">Окраска ранее окрашенных надземных газопроводов: </t>
    </r>
    <r>
      <rPr>
        <sz val="9"/>
        <rFont val="Times New Roman CYR"/>
        <family val="1"/>
      </rPr>
      <t>одна  окраска (при окраске с приставной лестницей применять коэффициент - 1,2).</t>
    </r>
  </si>
  <si>
    <r>
      <rPr>
        <b/>
        <sz val="9"/>
        <rFont val="Times New Roman CYR"/>
        <family val="0"/>
      </rPr>
      <t>Окраска ранее окрашенных надземных газопроводов:</t>
    </r>
    <r>
      <rPr>
        <sz val="9"/>
        <rFont val="Times New Roman CYR"/>
        <family val="1"/>
      </rPr>
      <t xml:space="preserve"> две окраски  (при окраске с приставной лестницей применять коэффициент - 1,2).</t>
    </r>
  </si>
  <si>
    <t>Замена  ковера без покрытия</t>
  </si>
  <si>
    <t>при Ду газопровода 101-300 мм</t>
  </si>
  <si>
    <t>при Ду газопровода св.500 мм</t>
  </si>
  <si>
    <t xml:space="preserve">Диаметр газопровода свыше 81 мм  </t>
  </si>
  <si>
    <t>Диаметр газопровода от 51 мм до 100 мм</t>
  </si>
  <si>
    <t>Диаметр газопровода от 101 мм до 150 мм</t>
  </si>
  <si>
    <t>Ликвидация контрольной трубки (КТ) на гарантийных стыках при отсутствии контакта между КТ и газопроводом</t>
  </si>
  <si>
    <t>- при асфальтобетонном покрытии</t>
  </si>
  <si>
    <t>- при булыжном покрытии</t>
  </si>
  <si>
    <t>- при грунтовом покрытии</t>
  </si>
  <si>
    <r>
      <t xml:space="preserve">Замена  ковера  при асфальтобетонном покрытии </t>
    </r>
    <r>
      <rPr>
        <sz val="9"/>
        <rFont val="Times New Roman Cyr"/>
        <family val="0"/>
      </rPr>
      <t>(при булыжном применять К=0,9)</t>
    </r>
  </si>
  <si>
    <r>
      <t xml:space="preserve">Разборка асфальтобетонного покрытия </t>
    </r>
    <r>
      <rPr>
        <sz val="9"/>
        <rFont val="Times New Roman Cyr"/>
        <family val="0"/>
      </rPr>
      <t>(при разборке бетонного покрытия применять к ценам повышающий коэффициент - 3).</t>
    </r>
  </si>
  <si>
    <r>
      <t>Окраска ранее окрашенных задвижек при нормальных условиях работы</t>
    </r>
    <r>
      <rPr>
        <sz val="9"/>
        <rFont val="Times New Roman Cyr"/>
        <family val="0"/>
      </rPr>
      <t xml:space="preserve"> (при окраске с приставной лестницей применять коэффициент - 1,5)</t>
    </r>
  </si>
  <si>
    <r>
      <t xml:space="preserve">Замена задвижки на газопроводе 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</si>
  <si>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Ремонт задвижки на газопроводе </t>
    </r>
    <r>
      <rPr>
        <sz val="9"/>
        <rFont val="Times New Roman Cyr"/>
        <family val="0"/>
      </rPr>
      <t>(при работе в ГК применять К=1,4; плата за работу, связанную со снятием перекрытия ГК,  взимается дополнительно).</t>
    </r>
  </si>
  <si>
    <r>
      <t xml:space="preserve">Замена прокладки во фланцевом соединение на газопроводе </t>
    </r>
    <r>
      <rPr>
        <sz val="9"/>
        <rFont val="Times New Roman Cyr"/>
        <family val="0"/>
      </rPr>
      <t>(при работе в ГК применять К=1,4).</t>
    </r>
  </si>
  <si>
    <r>
      <t xml:space="preserve">Замена сальниковой набивки на задвижке </t>
    </r>
    <r>
      <rPr>
        <sz val="9"/>
        <rFont val="Times New Roman Cyr"/>
        <family val="0"/>
      </rPr>
      <t>(при работе в ГК применять К=1,7).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</si>
  <si>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К=2):</t>
    </r>
  </si>
  <si>
    <r>
      <t xml:space="preserve">снижение давления газа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</si>
  <si>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200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</si>
  <si>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300 даПа до 150 даПа 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</si>
  <si>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на каждый последующий 1 км г / провода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</si>
  <si>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r>
      <t xml:space="preserve">Снижение давления газа в газопроводе с 0,3 МПа до 0,1 Мпа </t>
    </r>
    <r>
      <rPr>
        <sz val="9"/>
        <rFont val="Times New Roman Cyr"/>
        <family val="0"/>
      </rPr>
      <t>(при работе в ГК применять К=2)</t>
    </r>
    <r>
      <rPr>
        <b/>
        <sz val="9"/>
        <rFont val="Times New Roman Cyr"/>
        <family val="1"/>
      </rPr>
      <t>:</t>
    </r>
  </si>
  <si>
    <t>1.2.93.</t>
  </si>
  <si>
    <t>Механическая резка полиэтиленовых труб, диаметр труб до 63 мм</t>
  </si>
  <si>
    <t>1 соединение</t>
  </si>
  <si>
    <t>Механическая резка полиэтиленовых труб, диаметр труб до 110 мм</t>
  </si>
  <si>
    <t>Механическая резка полиэтиленовых труб, диаметр труб до 160 мм</t>
  </si>
  <si>
    <t>Механическая резка полиэтиленовых труб, диаметр труб до 225 мм</t>
  </si>
  <si>
    <t>1.2.94.</t>
  </si>
  <si>
    <t>Установка седелок крановых полиэтиленовых с закладными нагревателями на газопроводе из полиэтиленовых труб</t>
  </si>
  <si>
    <t>диаметры соединяемых труб 63х32 мм</t>
  </si>
  <si>
    <t>диаметры соединяемых труб 110х32, 110х63 мм</t>
  </si>
  <si>
    <t>диаметры соединяемых труб 160х32, 160х63 мм</t>
  </si>
  <si>
    <t>диаметры соединяемых труб 225х32, 225х63 мм</t>
  </si>
  <si>
    <t>1.2.95.</t>
  </si>
  <si>
    <t>Сварка полиэтиленовых труб при помощи соединительных деталей с закладными нагревателями</t>
  </si>
  <si>
    <t>диаметр труб 32 мм</t>
  </si>
  <si>
    <t>диаметр труб 63 мм</t>
  </si>
  <si>
    <t>диаметр труб 110 мм</t>
  </si>
  <si>
    <t>диаметр труб 160 мм</t>
  </si>
  <si>
    <t>диаметр труб 225 мм</t>
  </si>
  <si>
    <t>1.2.96.</t>
  </si>
  <si>
    <t>Приварка ПЭ заглушки, диаметр труб 63 мм</t>
  </si>
  <si>
    <t>1.2.97.</t>
  </si>
  <si>
    <t>Проверка герметичности подземного газопровода опрессовкой при диаметре до 100мм</t>
  </si>
  <si>
    <t>100 м</t>
  </si>
  <si>
    <t>1.2.98.</t>
  </si>
  <si>
    <t>Демонтаж газопровода, условным диаметром газопровода: 25мм.</t>
  </si>
  <si>
    <t>1.2.99.</t>
  </si>
  <si>
    <t>Отключение потребителей газа, перекрытие крана на вводе в здание</t>
  </si>
  <si>
    <t>кран</t>
  </si>
  <si>
    <t>1.2.100.</t>
  </si>
  <si>
    <t>Присоединение (врезка)  вновь построенного подземного газопровода среднего, высокого давления с помощью установки УВГ-100 при диаметре присоединяемого газопровода ф 57-100 мм.</t>
  </si>
  <si>
    <t>врезка</t>
  </si>
  <si>
    <t>1.2.101.</t>
  </si>
  <si>
    <t>Присоединение (врезка)  вновь построенного подземного газопровода среднего, высокого давления с помощью установки УВГ-200 при диаметре присоединяемого газопровода ф 114-219 мм</t>
  </si>
  <si>
    <t>1.2.102.</t>
  </si>
  <si>
    <t xml:space="preserve">Установка тройника на газопроводе из полиэтиленовых труб в горизонтальной плоскости: </t>
  </si>
  <si>
    <t>1 установка</t>
  </si>
  <si>
    <t>1.2.103.</t>
  </si>
  <si>
    <t xml:space="preserve">Сборка, установка, разборка вышки строительной сборно-разборной передвижной </t>
  </si>
  <si>
    <t>Ду до 50 мм</t>
  </si>
  <si>
    <t>Ду 51-100мм</t>
  </si>
  <si>
    <t>Изоляция узла врезки газопровода</t>
  </si>
  <si>
    <t>1 вышка</t>
  </si>
  <si>
    <t>2019'!A1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</si>
</sst>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ð.&quot;;\-#,##0&quot;ð.&quot;"/>
    <numFmt numFmtId="183" formatCode="#,##0&quot;ð.&quot;;[Red]\-#,##0&quot;ð.&quot;"/>
    <numFmt numFmtId="184" formatCode="#,##0.00&quot;ð.&quot;;\-#,##0.00&quot;ð.&quot;"/>
    <numFmt numFmtId="185" formatCode="#,##0.00&quot;ð.&quot;;[Red]\-#,##0.00&quot;ð.&quot;"/>
    <numFmt numFmtId="186" formatCode="_-* #,##0&quot;ð.&quot;_-;\-* #,##0&quot;ð.&quot;_-;_-* &quot;-&quot;&quot;ð.&quot;_-;_-@_-"/>
    <numFmt numFmtId="187" formatCode="_-* #,##0_ð_._-;\-* #,##0_ð_._-;_-* &quot;-&quot;_ð_._-;_-@_-"/>
    <numFmt numFmtId="188" formatCode="_-* #,##0.00&quot;ð.&quot;_-;\-* #,##0.00&quot;ð.&quot;_-;_-* &quot;-&quot;??&quot;ð.&quot;_-;_-@_-"/>
    <numFmt numFmtId="189" formatCode="_-* #,##0.00_ð_._-;\-* #,##0.00_ð_._-;_-* &quot;-&quot;??_ð_._-;_-@_-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#,##0.0"/>
    <numFmt numFmtId="199" formatCode="#,##0.00_ ;[Red]\-#,##0.00\ "/>
    <numFmt numFmtId="200" formatCode="[$-FC19]d\ mmmm\ yyyy\ &quot;г.&quot;"/>
    <numFmt numFmtId="201" formatCode="_-* #,##0.000_р_._-;\-* #,##0.000_р_._-;_-* &quot;-&quot;??_р_._-;_-@_-"/>
    <numFmt numFmtId="202" formatCode="#,##0.000"/>
  </numFmts>
  <fonts count="68">
    <font>
      <sz val="10"/>
      <name val="MS Sans Serif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vertAlign val="superscript"/>
      <sz val="9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1"/>
    </font>
    <font>
      <sz val="9"/>
      <color indexed="47"/>
      <name val="Times New Roman CYR"/>
      <family val="1"/>
    </font>
    <font>
      <sz val="9"/>
      <color indexed="47"/>
      <name val="Times New Roman Cyr"/>
      <family val="0"/>
    </font>
    <font>
      <b/>
      <sz val="9"/>
      <color indexed="47"/>
      <name val="Times New Roman Cyr"/>
      <family val="1"/>
    </font>
    <font>
      <sz val="9"/>
      <color indexed="47"/>
      <name val="Times New Roman"/>
      <family val="1"/>
    </font>
    <font>
      <b/>
      <sz val="9"/>
      <color indexed="47"/>
      <name val="Times New Roman"/>
      <family val="1"/>
    </font>
    <font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1"/>
    </font>
    <font>
      <sz val="9"/>
      <color theme="0" tint="-0.1499900072813034"/>
      <name val="Times New Roman CYR"/>
      <family val="1"/>
    </font>
    <font>
      <sz val="9"/>
      <color theme="0" tint="-0.1499900072813034"/>
      <name val="Times New Roman Cyr"/>
      <family val="0"/>
    </font>
    <font>
      <b/>
      <sz val="9"/>
      <color theme="0" tint="-0.1499900072813034"/>
      <name val="Times New Roman Cyr"/>
      <family val="1"/>
    </font>
    <font>
      <sz val="9"/>
      <color theme="0" tint="-0.1499900072813034"/>
      <name val="Times New Roman"/>
      <family val="1"/>
    </font>
    <font>
      <b/>
      <sz val="9"/>
      <color theme="0" tint="-0.1499900072813034"/>
      <name val="Times New Roman"/>
      <family val="1"/>
    </font>
    <font>
      <sz val="9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49" fontId="2" fillId="0" borderId="0" xfId="54" applyNumberFormat="1" applyFont="1" applyFill="1" applyBorder="1" applyAlignment="1" applyProtection="1">
      <alignment vertical="top"/>
      <protection/>
    </xf>
    <xf numFmtId="0" fontId="3" fillId="0" borderId="0" xfId="54" applyNumberFormat="1" applyFont="1" applyFill="1" applyBorder="1" applyAlignment="1" applyProtection="1">
      <alignment horizontal="center" vertical="top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2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1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2" fillId="0" borderId="11" xfId="53" applyFont="1" applyBorder="1" applyAlignment="1">
      <alignment horizontal="left"/>
      <protection/>
    </xf>
    <xf numFmtId="49" fontId="4" fillId="0" borderId="11" xfId="53" applyNumberFormat="1" applyFont="1" applyBorder="1">
      <alignment/>
      <protection/>
    </xf>
    <xf numFmtId="49" fontId="2" fillId="0" borderId="11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2" fontId="2" fillId="0" borderId="11" xfId="53" applyNumberFormat="1" applyFont="1" applyBorder="1" applyAlignment="1">
      <alignment horizontal="center"/>
      <protection/>
    </xf>
    <xf numFmtId="2" fontId="2" fillId="0" borderId="0" xfId="53" applyNumberFormat="1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0" borderId="0" xfId="53" applyFont="1">
      <alignment/>
      <protection/>
    </xf>
    <xf numFmtId="49" fontId="2" fillId="0" borderId="11" xfId="53" applyNumberFormat="1" applyFont="1" applyBorder="1" applyAlignment="1">
      <alignment horizontal="left"/>
      <protection/>
    </xf>
    <xf numFmtId="49" fontId="3" fillId="0" borderId="11" xfId="53" applyNumberFormat="1" applyFont="1" applyBorder="1">
      <alignment/>
      <protection/>
    </xf>
    <xf numFmtId="49" fontId="2" fillId="0" borderId="11" xfId="53" applyNumberFormat="1" applyFont="1" applyBorder="1">
      <alignment/>
      <protection/>
    </xf>
    <xf numFmtId="0" fontId="2" fillId="0" borderId="12" xfId="53" applyNumberFormat="1" applyFont="1" applyBorder="1" applyAlignment="1">
      <alignment horizontal="center"/>
      <protection/>
    </xf>
    <xf numFmtId="2" fontId="2" fillId="0" borderId="13" xfId="54" applyNumberFormat="1" applyFont="1" applyFill="1" applyBorder="1" applyAlignment="1" applyProtection="1">
      <alignment vertical="top"/>
      <protection/>
    </xf>
    <xf numFmtId="193" fontId="2" fillId="0" borderId="14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right" vertical="top"/>
      <protection/>
    </xf>
    <xf numFmtId="1" fontId="2" fillId="0" borderId="11" xfId="53" applyNumberFormat="1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49" fontId="2" fillId="0" borderId="15" xfId="53" applyNumberFormat="1" applyFont="1" applyBorder="1" applyAlignment="1">
      <alignment horizontal="left"/>
      <protection/>
    </xf>
    <xf numFmtId="49" fontId="2" fillId="0" borderId="15" xfId="53" applyNumberFormat="1" applyFont="1" applyBorder="1">
      <alignment/>
      <protection/>
    </xf>
    <xf numFmtId="49" fontId="2" fillId="0" borderId="15" xfId="53" applyNumberFormat="1" applyFont="1" applyBorder="1" applyAlignment="1">
      <alignment horizontal="center"/>
      <protection/>
    </xf>
    <xf numFmtId="49" fontId="2" fillId="0" borderId="16" xfId="53" applyNumberFormat="1" applyFont="1" applyBorder="1" applyAlignment="1">
      <alignment horizontal="center"/>
      <protection/>
    </xf>
    <xf numFmtId="2" fontId="2" fillId="0" borderId="15" xfId="53" applyNumberFormat="1" applyFont="1" applyBorder="1" applyAlignment="1">
      <alignment horizontal="center"/>
      <protection/>
    </xf>
    <xf numFmtId="2" fontId="2" fillId="0" borderId="17" xfId="54" applyNumberFormat="1" applyFont="1" applyFill="1" applyBorder="1" applyAlignment="1" applyProtection="1">
      <alignment vertical="top"/>
      <protection/>
    </xf>
    <xf numFmtId="193" fontId="2" fillId="0" borderId="18" xfId="54" applyNumberFormat="1" applyFont="1" applyFill="1" applyBorder="1" applyAlignment="1" applyProtection="1">
      <alignment vertical="top"/>
      <protection/>
    </xf>
    <xf numFmtId="2" fontId="2" fillId="0" borderId="15" xfId="54" applyNumberFormat="1" applyFont="1" applyFill="1" applyBorder="1" applyAlignment="1" applyProtection="1">
      <alignment horizontal="right" vertical="top"/>
      <protection/>
    </xf>
    <xf numFmtId="49" fontId="2" fillId="0" borderId="19" xfId="53" applyNumberFormat="1" applyFont="1" applyBorder="1" applyAlignment="1">
      <alignment horizontal="left"/>
      <protection/>
    </xf>
    <xf numFmtId="49" fontId="2" fillId="0" borderId="19" xfId="53" applyNumberFormat="1" applyFont="1" applyBorder="1">
      <alignment/>
      <protection/>
    </xf>
    <xf numFmtId="49" fontId="2" fillId="0" borderId="19" xfId="53" applyNumberFormat="1" applyFont="1" applyBorder="1" applyAlignment="1">
      <alignment horizontal="center"/>
      <protection/>
    </xf>
    <xf numFmtId="49" fontId="2" fillId="0" borderId="20" xfId="53" applyNumberFormat="1" applyFont="1" applyBorder="1" applyAlignment="1">
      <alignment horizontal="center"/>
      <protection/>
    </xf>
    <xf numFmtId="2" fontId="2" fillId="0" borderId="19" xfId="53" applyNumberFormat="1" applyFont="1" applyBorder="1" applyAlignment="1">
      <alignment horizontal="center"/>
      <protection/>
    </xf>
    <xf numFmtId="2" fontId="2" fillId="0" borderId="21" xfId="54" applyNumberFormat="1" applyFont="1" applyFill="1" applyBorder="1" applyAlignment="1" applyProtection="1">
      <alignment vertical="top"/>
      <protection/>
    </xf>
    <xf numFmtId="193" fontId="2" fillId="0" borderId="22" xfId="54" applyNumberFormat="1" applyFont="1" applyFill="1" applyBorder="1" applyAlignment="1" applyProtection="1">
      <alignment vertical="top"/>
      <protection/>
    </xf>
    <xf numFmtId="2" fontId="2" fillId="0" borderId="19" xfId="54" applyNumberFormat="1" applyFont="1" applyFill="1" applyBorder="1" applyAlignment="1" applyProtection="1">
      <alignment horizontal="right" vertical="top"/>
      <protection/>
    </xf>
    <xf numFmtId="49" fontId="2" fillId="0" borderId="11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0" fontId="2" fillId="0" borderId="11" xfId="54" applyNumberFormat="1" applyFont="1" applyFill="1" applyBorder="1" applyAlignment="1" applyProtection="1">
      <alignment horizontal="center" vertical="top"/>
      <protection/>
    </xf>
    <xf numFmtId="0" fontId="2" fillId="0" borderId="23" xfId="54" applyNumberFormat="1" applyFont="1" applyFill="1" applyBorder="1" applyAlignment="1" applyProtection="1">
      <alignment vertical="top"/>
      <protection/>
    </xf>
    <xf numFmtId="0" fontId="2" fillId="0" borderId="13" xfId="54" applyNumberFormat="1" applyFont="1" applyFill="1" applyBorder="1" applyAlignment="1" applyProtection="1">
      <alignment vertical="top"/>
      <protection/>
    </xf>
    <xf numFmtId="2" fontId="2" fillId="0" borderId="11" xfId="54" applyNumberFormat="1" applyFont="1" applyFill="1" applyBorder="1" applyAlignment="1" applyProtection="1">
      <alignment horizontal="left" vertical="top"/>
      <protection/>
    </xf>
    <xf numFmtId="0" fontId="2" fillId="0" borderId="11" xfId="54" applyNumberFormat="1" applyFont="1" applyFill="1" applyBorder="1" applyAlignment="1" applyProtection="1">
      <alignment vertical="top"/>
      <protection/>
    </xf>
    <xf numFmtId="49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vertical="top"/>
      <protection/>
    </xf>
    <xf numFmtId="0" fontId="2" fillId="0" borderId="15" xfId="54" applyNumberFormat="1" applyFont="1" applyFill="1" applyBorder="1" applyAlignment="1" applyProtection="1">
      <alignment horizontal="center" vertical="top"/>
      <protection/>
    </xf>
    <xf numFmtId="0" fontId="2" fillId="0" borderId="24" xfId="54" applyNumberFormat="1" applyFont="1" applyFill="1" applyBorder="1" applyAlignment="1" applyProtection="1">
      <alignment vertical="top"/>
      <protection/>
    </xf>
    <xf numFmtId="0" fontId="2" fillId="0" borderId="17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Fill="1" applyBorder="1">
      <alignment/>
      <protection/>
    </xf>
    <xf numFmtId="2" fontId="2" fillId="0" borderId="14" xfId="54" applyNumberFormat="1" applyFont="1" applyFill="1" applyBorder="1" applyAlignment="1" applyProtection="1">
      <alignment vertical="top"/>
      <protection/>
    </xf>
    <xf numFmtId="0" fontId="2" fillId="0" borderId="14" xfId="54" applyNumberFormat="1" applyFont="1" applyFill="1" applyBorder="1" applyAlignment="1" applyProtection="1">
      <alignment vertical="top"/>
      <protection/>
    </xf>
    <xf numFmtId="193" fontId="2" fillId="0" borderId="25" xfId="54" applyNumberFormat="1" applyFont="1" applyFill="1" applyBorder="1" applyAlignment="1" applyProtection="1">
      <alignment vertical="top"/>
      <protection/>
    </xf>
    <xf numFmtId="49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vertical="top"/>
      <protection/>
    </xf>
    <xf numFmtId="0" fontId="2" fillId="0" borderId="19" xfId="54" applyNumberFormat="1" applyFont="1" applyFill="1" applyBorder="1" applyAlignment="1" applyProtection="1">
      <alignment horizontal="center" vertical="top"/>
      <protection/>
    </xf>
    <xf numFmtId="0" fontId="2" fillId="0" borderId="26" xfId="54" applyNumberFormat="1" applyFont="1" applyFill="1" applyBorder="1" applyAlignment="1" applyProtection="1">
      <alignment vertical="top"/>
      <protection/>
    </xf>
    <xf numFmtId="0" fontId="2" fillId="0" borderId="21" xfId="54" applyNumberFormat="1" applyFont="1" applyFill="1" applyBorder="1" applyAlignment="1" applyProtection="1">
      <alignment vertical="top"/>
      <protection/>
    </xf>
    <xf numFmtId="0" fontId="3" fillId="0" borderId="15" xfId="54" applyNumberFormat="1" applyFont="1" applyFill="1" applyBorder="1" applyAlignment="1" applyProtection="1">
      <alignment horizontal="left" vertical="top" wrapText="1"/>
      <protection/>
    </xf>
    <xf numFmtId="0" fontId="2" fillId="0" borderId="15" xfId="54" applyNumberFormat="1" applyFont="1" applyFill="1" applyBorder="1" applyAlignment="1" applyProtection="1">
      <alignment horizontal="center" vertical="top" wrapText="1"/>
      <protection/>
    </xf>
    <xf numFmtId="0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27" xfId="54" applyNumberFormat="1" applyFont="1" applyFill="1" applyBorder="1" applyAlignment="1" applyProtection="1">
      <alignment horizontal="right" vertical="top" wrapText="1"/>
      <protection/>
    </xf>
    <xf numFmtId="2" fontId="2" fillId="0" borderId="15" xfId="54" applyNumberFormat="1" applyFont="1" applyFill="1" applyBorder="1" applyAlignment="1" applyProtection="1">
      <alignment horizontal="right" vertical="top" wrapText="1"/>
      <protection/>
    </xf>
    <xf numFmtId="1" fontId="2" fillId="0" borderId="14" xfId="54" applyNumberFormat="1" applyFont="1" applyFill="1" applyBorder="1" applyAlignment="1" applyProtection="1">
      <alignment vertical="top"/>
      <protection/>
    </xf>
    <xf numFmtId="49" fontId="2" fillId="0" borderId="11" xfId="54" applyNumberFormat="1" applyFont="1" applyFill="1" applyBorder="1" applyAlignment="1" applyProtection="1">
      <alignment horizontal="left" vertical="top"/>
      <protection/>
    </xf>
    <xf numFmtId="49" fontId="2" fillId="0" borderId="15" xfId="54" applyNumberFormat="1" applyFont="1" applyFill="1" applyBorder="1" applyAlignment="1" applyProtection="1">
      <alignment horizontal="left" vertical="top"/>
      <protection/>
    </xf>
    <xf numFmtId="0" fontId="3" fillId="0" borderId="15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right" vertical="top"/>
      <protection/>
    </xf>
    <xf numFmtId="49" fontId="2" fillId="0" borderId="28" xfId="54" applyNumberFormat="1" applyFont="1" applyFill="1" applyBorder="1" applyAlignment="1" applyProtection="1">
      <alignment vertical="top"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2" fillId="0" borderId="28" xfId="54" applyNumberFormat="1" applyFont="1" applyFill="1" applyBorder="1" applyAlignment="1" applyProtection="1">
      <alignment horizontal="center" vertical="top"/>
      <protection/>
    </xf>
    <xf numFmtId="0" fontId="2" fillId="0" borderId="29" xfId="54" applyNumberFormat="1" applyFont="1" applyFill="1" applyBorder="1" applyAlignment="1" applyProtection="1">
      <alignment vertical="top"/>
      <protection/>
    </xf>
    <xf numFmtId="0" fontId="2" fillId="0" borderId="30" xfId="54" applyNumberFormat="1" applyFont="1" applyFill="1" applyBorder="1" applyAlignment="1" applyProtection="1">
      <alignment vertical="top"/>
      <protection/>
    </xf>
    <xf numFmtId="2" fontId="2" fillId="0" borderId="30" xfId="54" applyNumberFormat="1" applyFont="1" applyFill="1" applyBorder="1" applyAlignment="1" applyProtection="1">
      <alignment vertical="top"/>
      <protection/>
    </xf>
    <xf numFmtId="193" fontId="2" fillId="0" borderId="31" xfId="54" applyNumberFormat="1" applyFont="1" applyFill="1" applyBorder="1" applyAlignment="1" applyProtection="1">
      <alignment vertical="top"/>
      <protection/>
    </xf>
    <xf numFmtId="0" fontId="2" fillId="0" borderId="11" xfId="53" applyFont="1" applyBorder="1" applyAlignment="1">
      <alignment horizontal="right"/>
      <protection/>
    </xf>
    <xf numFmtId="2" fontId="2" fillId="0" borderId="0" xfId="54" applyNumberFormat="1" applyFont="1" applyFill="1" applyBorder="1" applyAlignment="1" applyProtection="1">
      <alignment vertical="top"/>
      <protection/>
    </xf>
    <xf numFmtId="193" fontId="2" fillId="0" borderId="0" xfId="54" applyNumberFormat="1" applyFont="1" applyFill="1" applyBorder="1" applyAlignment="1" applyProtection="1">
      <alignment vertical="top"/>
      <protection/>
    </xf>
    <xf numFmtId="0" fontId="5" fillId="0" borderId="0" xfId="54" applyNumberFormat="1" applyFont="1" applyFill="1" applyBorder="1" applyAlignment="1" applyProtection="1">
      <alignment vertical="top"/>
      <protection/>
    </xf>
    <xf numFmtId="2" fontId="2" fillId="0" borderId="22" xfId="54" applyNumberFormat="1" applyFont="1" applyFill="1" applyBorder="1" applyAlignment="1" applyProtection="1">
      <alignment vertical="top"/>
      <protection/>
    </xf>
    <xf numFmtId="2" fontId="2" fillId="0" borderId="18" xfId="54" applyNumberFormat="1" applyFont="1" applyFill="1" applyBorder="1" applyAlignment="1" applyProtection="1">
      <alignment vertical="top"/>
      <protection/>
    </xf>
    <xf numFmtId="0" fontId="3" fillId="0" borderId="11" xfId="54" applyNumberFormat="1" applyFont="1" applyFill="1" applyBorder="1" applyAlignment="1" applyProtection="1">
      <alignment vertical="top"/>
      <protection/>
    </xf>
    <xf numFmtId="49" fontId="3" fillId="0" borderId="11" xfId="53" applyNumberFormat="1" applyFont="1" applyBorder="1">
      <alignment/>
      <protection/>
    </xf>
    <xf numFmtId="0" fontId="3" fillId="0" borderId="28" xfId="54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" fontId="2" fillId="0" borderId="15" xfId="53" applyNumberFormat="1" applyFont="1" applyBorder="1" applyAlignment="1">
      <alignment horizontal="center"/>
      <protection/>
    </xf>
    <xf numFmtId="0" fontId="2" fillId="0" borderId="32" xfId="55" applyNumberFormat="1" applyFont="1" applyFill="1" applyBorder="1" applyAlignment="1" applyProtection="1">
      <alignment horizontal="center" vertical="center" wrapText="1"/>
      <protection/>
    </xf>
    <xf numFmtId="0" fontId="2" fillId="0" borderId="32" xfId="54" applyNumberFormat="1" applyFont="1" applyFill="1" applyBorder="1" applyAlignment="1" applyProtection="1">
      <alignment horizontal="center" vertical="top" wrapText="1"/>
      <protection/>
    </xf>
    <xf numFmtId="2" fontId="2" fillId="0" borderId="33" xfId="53" applyNumberFormat="1" applyFont="1" applyBorder="1" applyAlignment="1">
      <alignment horizontal="center"/>
      <protection/>
    </xf>
    <xf numFmtId="193" fontId="2" fillId="0" borderId="11" xfId="54" applyNumberFormat="1" applyFont="1" applyFill="1" applyBorder="1" applyAlignment="1" applyProtection="1">
      <alignment vertical="top"/>
      <protection/>
    </xf>
    <xf numFmtId="193" fontId="2" fillId="0" borderId="15" xfId="54" applyNumberFormat="1" applyFont="1" applyFill="1" applyBorder="1" applyAlignment="1" applyProtection="1">
      <alignment vertical="top"/>
      <protection/>
    </xf>
    <xf numFmtId="193" fontId="2" fillId="0" borderId="19" xfId="54" applyNumberFormat="1" applyFont="1" applyFill="1" applyBorder="1" applyAlignment="1" applyProtection="1">
      <alignment vertical="top"/>
      <protection/>
    </xf>
    <xf numFmtId="49" fontId="2" fillId="0" borderId="28" xfId="53" applyNumberFormat="1" applyFont="1" applyBorder="1">
      <alignment/>
      <protection/>
    </xf>
    <xf numFmtId="49" fontId="3" fillId="0" borderId="28" xfId="53" applyNumberFormat="1" applyFont="1" applyBorder="1">
      <alignment/>
      <protection/>
    </xf>
    <xf numFmtId="49" fontId="2" fillId="0" borderId="28" xfId="53" applyNumberFormat="1" applyFont="1" applyBorder="1" applyAlignment="1">
      <alignment horizontal="center"/>
      <protection/>
    </xf>
    <xf numFmtId="1" fontId="2" fillId="0" borderId="28" xfId="53" applyNumberFormat="1" applyFont="1" applyBorder="1" applyAlignment="1">
      <alignment horizontal="center"/>
      <protection/>
    </xf>
    <xf numFmtId="2" fontId="2" fillId="0" borderId="28" xfId="53" applyNumberFormat="1" applyFont="1" applyBorder="1" applyAlignment="1">
      <alignment horizontal="center"/>
      <protection/>
    </xf>
    <xf numFmtId="2" fontId="2" fillId="0" borderId="34" xfId="54" applyNumberFormat="1" applyFont="1" applyFill="1" applyBorder="1" applyAlignment="1" applyProtection="1">
      <alignment vertical="top"/>
      <protection/>
    </xf>
    <xf numFmtId="49" fontId="2" fillId="0" borderId="35" xfId="53" applyNumberFormat="1" applyFont="1" applyBorder="1">
      <alignment/>
      <protection/>
    </xf>
    <xf numFmtId="49" fontId="3" fillId="0" borderId="35" xfId="53" applyNumberFormat="1" applyFont="1" applyBorder="1">
      <alignment/>
      <protection/>
    </xf>
    <xf numFmtId="49" fontId="2" fillId="0" borderId="35" xfId="53" applyNumberFormat="1" applyFont="1" applyBorder="1" applyAlignment="1">
      <alignment horizontal="center"/>
      <protection/>
    </xf>
    <xf numFmtId="1" fontId="2" fillId="0" borderId="35" xfId="53" applyNumberFormat="1" applyFont="1" applyBorder="1" applyAlignment="1">
      <alignment horizontal="center"/>
      <protection/>
    </xf>
    <xf numFmtId="2" fontId="2" fillId="0" borderId="35" xfId="53" applyNumberFormat="1" applyFont="1" applyBorder="1" applyAlignment="1">
      <alignment horizontal="center"/>
      <protection/>
    </xf>
    <xf numFmtId="2" fontId="2" fillId="0" borderId="36" xfId="54" applyNumberFormat="1" applyFont="1" applyFill="1" applyBorder="1" applyAlignment="1" applyProtection="1">
      <alignment vertical="top"/>
      <protection/>
    </xf>
    <xf numFmtId="2" fontId="2" fillId="0" borderId="35" xfId="54" applyNumberFormat="1" applyFont="1" applyFill="1" applyBorder="1" applyAlignment="1" applyProtection="1">
      <alignment horizontal="right" vertical="top"/>
      <protection/>
    </xf>
    <xf numFmtId="49" fontId="2" fillId="0" borderId="0" xfId="54" applyNumberFormat="1" applyFont="1" applyFill="1" applyBorder="1" applyAlignment="1" applyProtection="1">
      <alignment horizontal="center"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 wrapText="1"/>
      <protection/>
    </xf>
    <xf numFmtId="49" fontId="2" fillId="0" borderId="34" xfId="54" applyNumberFormat="1" applyFont="1" applyFill="1" applyBorder="1" applyAlignment="1" applyProtection="1">
      <alignment horizontal="center" vertical="top" wrapText="1"/>
      <protection/>
    </xf>
    <xf numFmtId="0" fontId="2" fillId="0" borderId="34" xfId="54" applyNumberFormat="1" applyFont="1" applyFill="1" applyBorder="1" applyAlignment="1" applyProtection="1">
      <alignment horizontal="center" vertical="top" wrapText="1"/>
      <protection/>
    </xf>
    <xf numFmtId="49" fontId="2" fillId="0" borderId="0" xfId="54" applyNumberFormat="1" applyFont="1" applyFill="1" applyBorder="1" applyAlignment="1" applyProtection="1">
      <alignment horizontal="center" vertical="top"/>
      <protection/>
    </xf>
    <xf numFmtId="49" fontId="8" fillId="0" borderId="0" xfId="54" applyNumberFormat="1" applyFont="1" applyFill="1" applyBorder="1" applyAlignment="1" applyProtection="1">
      <alignment horizontal="left" vertical="top"/>
      <protection/>
    </xf>
    <xf numFmtId="49" fontId="2" fillId="0" borderId="37" xfId="53" applyNumberFormat="1" applyFont="1" applyBorder="1" applyAlignment="1">
      <alignment horizontal="center"/>
      <protection/>
    </xf>
    <xf numFmtId="0" fontId="2" fillId="0" borderId="19" xfId="53" applyNumberFormat="1" applyFont="1" applyBorder="1" applyAlignment="1">
      <alignment horizontal="center"/>
      <protection/>
    </xf>
    <xf numFmtId="1" fontId="2" fillId="0" borderId="12" xfId="53" applyNumberFormat="1" applyFont="1" applyBorder="1" applyAlignment="1">
      <alignment horizontal="center"/>
      <protection/>
    </xf>
    <xf numFmtId="2" fontId="2" fillId="0" borderId="12" xfId="53" applyNumberFormat="1" applyFont="1" applyBorder="1" applyAlignment="1">
      <alignment horizontal="center"/>
      <protection/>
    </xf>
    <xf numFmtId="2" fontId="2" fillId="0" borderId="11" xfId="54" applyNumberFormat="1" applyFont="1" applyFill="1" applyBorder="1" applyAlignment="1" applyProtection="1">
      <alignment horizontal="center" vertical="top"/>
      <protection/>
    </xf>
    <xf numFmtId="2" fontId="2" fillId="0" borderId="15" xfId="54" applyNumberFormat="1" applyFont="1" applyFill="1" applyBorder="1" applyAlignment="1" applyProtection="1">
      <alignment horizontal="center" vertical="top"/>
      <protection/>
    </xf>
    <xf numFmtId="192" fontId="2" fillId="0" borderId="11" xfId="53" applyNumberFormat="1" applyFont="1" applyBorder="1" applyAlignment="1">
      <alignment horizontal="center"/>
      <protection/>
    </xf>
    <xf numFmtId="2" fontId="2" fillId="0" borderId="16" xfId="53" applyNumberFormat="1" applyFont="1" applyBorder="1" applyAlignment="1">
      <alignment horizontal="center"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38" xfId="54" applyNumberFormat="1" applyFont="1" applyFill="1" applyBorder="1" applyAlignment="1" applyProtection="1">
      <alignment horizontal="center" vertical="top" wrapText="1"/>
      <protection/>
    </xf>
    <xf numFmtId="2" fontId="2" fillId="0" borderId="15" xfId="54" applyNumberFormat="1" applyFont="1" applyFill="1" applyBorder="1" applyAlignment="1" applyProtection="1">
      <alignment horizontal="center" vertical="top" wrapText="1"/>
      <protection/>
    </xf>
    <xf numFmtId="2" fontId="2" fillId="0" borderId="19" xfId="54" applyNumberFormat="1" applyFont="1" applyFill="1" applyBorder="1" applyAlignment="1" applyProtection="1">
      <alignment horizontal="center" vertical="top"/>
      <protection/>
    </xf>
    <xf numFmtId="1" fontId="2" fillId="0" borderId="16" xfId="53" applyNumberFormat="1" applyFont="1" applyBorder="1" applyAlignment="1">
      <alignment horizontal="center"/>
      <protection/>
    </xf>
    <xf numFmtId="1" fontId="2" fillId="0" borderId="20" xfId="53" applyNumberFormat="1" applyFont="1" applyBorder="1" applyAlignment="1">
      <alignment horizontal="center"/>
      <protection/>
    </xf>
    <xf numFmtId="0" fontId="2" fillId="0" borderId="37" xfId="54" applyNumberFormat="1" applyFont="1" applyFill="1" applyBorder="1" applyAlignment="1" applyProtection="1">
      <alignment vertical="top"/>
      <protection/>
    </xf>
    <xf numFmtId="2" fontId="2" fillId="0" borderId="28" xfId="54" applyNumberFormat="1" applyFont="1" applyFill="1" applyBorder="1" applyAlignment="1" applyProtection="1">
      <alignment horizontal="center" vertical="top"/>
      <protection/>
    </xf>
    <xf numFmtId="2" fontId="2" fillId="0" borderId="39" xfId="53" applyNumberFormat="1" applyFont="1" applyBorder="1" applyAlignment="1">
      <alignment horizontal="center"/>
      <protection/>
    </xf>
    <xf numFmtId="2" fontId="2" fillId="0" borderId="40" xfId="53" applyNumberFormat="1" applyFont="1" applyBorder="1" applyAlignment="1">
      <alignment horizontal="center"/>
      <protection/>
    </xf>
    <xf numFmtId="0" fontId="9" fillId="0" borderId="0" xfId="54" applyNumberFormat="1" applyFont="1" applyFill="1" applyBorder="1" applyAlignment="1" applyProtection="1">
      <alignment vertical="top"/>
      <protection/>
    </xf>
    <xf numFmtId="49" fontId="9" fillId="0" borderId="0" xfId="54" applyNumberFormat="1" applyFont="1" applyFill="1" applyBorder="1" applyAlignment="1" applyProtection="1">
      <alignment vertical="top"/>
      <protection/>
    </xf>
    <xf numFmtId="0" fontId="9" fillId="0" borderId="0" xfId="54" applyNumberFormat="1" applyFont="1" applyFill="1" applyBorder="1" applyAlignment="1" applyProtection="1">
      <alignment horizontal="center" vertical="top"/>
      <protection/>
    </xf>
    <xf numFmtId="0" fontId="9" fillId="0" borderId="0" xfId="53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53" applyFont="1" applyAlignment="1">
      <alignment horizontal="center"/>
      <protection/>
    </xf>
    <xf numFmtId="49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9" fillId="0" borderId="30" xfId="55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NumberFormat="1" applyFont="1" applyFill="1" applyBorder="1" applyAlignment="1" applyProtection="1">
      <alignment horizontal="center" vertical="top"/>
      <protection/>
    </xf>
    <xf numFmtId="49" fontId="15" fillId="0" borderId="0" xfId="55" applyNumberFormat="1" applyFont="1" applyFill="1" applyBorder="1" applyAlignment="1" applyProtection="1">
      <alignment horizontal="left" vertical="top"/>
      <protection/>
    </xf>
    <xf numFmtId="0" fontId="16" fillId="0" borderId="0" xfId="54" applyNumberFormat="1" applyFont="1" applyFill="1" applyBorder="1" applyAlignment="1" applyProtection="1">
      <alignment vertical="top"/>
      <protection/>
    </xf>
    <xf numFmtId="49" fontId="14" fillId="0" borderId="30" xfId="54" applyNumberFormat="1" applyFont="1" applyFill="1" applyBorder="1" applyAlignment="1" applyProtection="1">
      <alignment horizontal="center" vertical="center" wrapText="1"/>
      <protection/>
    </xf>
    <xf numFmtId="0" fontId="14" fillId="0" borderId="30" xfId="54" applyNumberFormat="1" applyFont="1" applyFill="1" applyBorder="1" applyAlignment="1" applyProtection="1">
      <alignment horizontal="center" vertical="center" wrapText="1"/>
      <protection/>
    </xf>
    <xf numFmtId="49" fontId="9" fillId="0" borderId="30" xfId="54" applyNumberFormat="1" applyFont="1" applyFill="1" applyBorder="1" applyAlignment="1" applyProtection="1">
      <alignment horizontal="center" vertical="center" wrapText="1"/>
      <protection/>
    </xf>
    <xf numFmtId="0" fontId="9" fillId="0" borderId="30" xfId="54" applyNumberFormat="1" applyFont="1" applyFill="1" applyBorder="1" applyAlignment="1" applyProtection="1">
      <alignment horizontal="center" vertical="center" wrapText="1"/>
      <protection/>
    </xf>
    <xf numFmtId="49" fontId="9" fillId="0" borderId="30" xfId="53" applyNumberFormat="1" applyFont="1" applyBorder="1" applyAlignment="1">
      <alignment horizontal="center" vertical="center"/>
      <protection/>
    </xf>
    <xf numFmtId="2" fontId="9" fillId="0" borderId="30" xfId="53" applyNumberFormat="1" applyFont="1" applyBorder="1" applyAlignment="1">
      <alignment horizontal="center" vertical="center"/>
      <protection/>
    </xf>
    <xf numFmtId="4" fontId="9" fillId="0" borderId="30" xfId="53" applyNumberFormat="1" applyFont="1" applyBorder="1" applyAlignment="1">
      <alignment horizontal="center" vertical="center"/>
      <protection/>
    </xf>
    <xf numFmtId="49" fontId="9" fillId="0" borderId="30" xfId="53" applyNumberFormat="1" applyFont="1" applyBorder="1" applyAlignment="1">
      <alignment horizontal="left" vertical="center"/>
      <protection/>
    </xf>
    <xf numFmtId="49" fontId="10" fillId="0" borderId="30" xfId="53" applyNumberFormat="1" applyFont="1" applyBorder="1" applyAlignment="1">
      <alignment vertical="center"/>
      <protection/>
    </xf>
    <xf numFmtId="49" fontId="9" fillId="0" borderId="30" xfId="53" applyNumberFormat="1" applyFont="1" applyBorder="1" applyAlignment="1">
      <alignment vertical="center"/>
      <protection/>
    </xf>
    <xf numFmtId="0" fontId="9" fillId="0" borderId="30" xfId="53" applyFont="1" applyBorder="1" applyAlignment="1">
      <alignment vertical="center"/>
      <protection/>
    </xf>
    <xf numFmtId="0" fontId="10" fillId="0" borderId="30" xfId="53" applyFont="1" applyBorder="1" applyAlignment="1">
      <alignment vertical="center"/>
      <protection/>
    </xf>
    <xf numFmtId="0" fontId="9" fillId="0" borderId="30" xfId="53" applyFont="1" applyBorder="1" applyAlignment="1">
      <alignment horizontal="center" vertical="center"/>
      <protection/>
    </xf>
    <xf numFmtId="49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vertical="center"/>
      <protection/>
    </xf>
    <xf numFmtId="0" fontId="9" fillId="0" borderId="30" xfId="54" applyNumberFormat="1" applyFont="1" applyFill="1" applyBorder="1" applyAlignment="1" applyProtection="1">
      <alignment horizontal="center" vertical="center"/>
      <protection/>
    </xf>
    <xf numFmtId="0" fontId="9" fillId="0" borderId="30" xfId="54" applyNumberFormat="1" applyFont="1" applyFill="1" applyBorder="1" applyAlignment="1" applyProtection="1">
      <alignment vertical="center"/>
      <protection/>
    </xf>
    <xf numFmtId="0" fontId="10" fillId="0" borderId="30" xfId="54" applyNumberFormat="1" applyFont="1" applyFill="1" applyBorder="1" applyAlignment="1" applyProtection="1">
      <alignment horizontal="left" vertical="center" wrapText="1"/>
      <protection/>
    </xf>
    <xf numFmtId="49" fontId="9" fillId="0" borderId="30" xfId="54" applyNumberFormat="1" applyFont="1" applyFill="1" applyBorder="1" applyAlignment="1" applyProtection="1">
      <alignment horizontal="left" vertical="center"/>
      <protection/>
    </xf>
    <xf numFmtId="0" fontId="10" fillId="0" borderId="30" xfId="53" applyFont="1" applyBorder="1" applyAlignment="1">
      <alignment horizontal="center" vertical="center"/>
      <protection/>
    </xf>
    <xf numFmtId="0" fontId="2" fillId="0" borderId="30" xfId="55" applyNumberFormat="1" applyFont="1" applyFill="1" applyBorder="1" applyAlignment="1" applyProtection="1">
      <alignment horizontal="center" vertical="center" wrapText="1"/>
      <protection/>
    </xf>
    <xf numFmtId="0" fontId="61" fillId="0" borderId="0" xfId="54" applyNumberFormat="1" applyFont="1" applyFill="1" applyBorder="1" applyAlignment="1" applyProtection="1">
      <alignment vertical="top"/>
      <protection/>
    </xf>
    <xf numFmtId="0" fontId="61" fillId="0" borderId="0" xfId="54" applyNumberFormat="1" applyFont="1" applyFill="1" applyBorder="1" applyAlignment="1" applyProtection="1">
      <alignment horizontal="center" vertical="top"/>
      <protection/>
    </xf>
    <xf numFmtId="49" fontId="10" fillId="0" borderId="30" xfId="53" applyNumberFormat="1" applyFont="1" applyBorder="1" applyAlignment="1">
      <alignment vertical="center" wrapText="1"/>
      <protection/>
    </xf>
    <xf numFmtId="0" fontId="10" fillId="0" borderId="30" xfId="53" applyFont="1" applyBorder="1" applyAlignment="1">
      <alignment vertical="center" wrapText="1"/>
      <protection/>
    </xf>
    <xf numFmtId="0" fontId="10" fillId="0" borderId="30" xfId="54" applyNumberFormat="1" applyFont="1" applyFill="1" applyBorder="1" applyAlignment="1" applyProtection="1">
      <alignment vertical="center" wrapText="1"/>
      <protection/>
    </xf>
    <xf numFmtId="49" fontId="10" fillId="0" borderId="30" xfId="53" applyNumberFormat="1" applyFont="1" applyFill="1" applyBorder="1" applyAlignment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 wrapText="1"/>
      <protection/>
    </xf>
    <xf numFmtId="0" fontId="14" fillId="0" borderId="30" xfId="54" applyNumberFormat="1" applyFont="1" applyFill="1" applyBorder="1" applyAlignment="1" applyProtection="1">
      <alignment vertical="center" wrapText="1"/>
      <protection/>
    </xf>
    <xf numFmtId="0" fontId="13" fillId="0" borderId="30" xfId="54" applyNumberFormat="1" applyFont="1" applyFill="1" applyBorder="1" applyAlignment="1" applyProtection="1">
      <alignment vertical="center"/>
      <protection/>
    </xf>
    <xf numFmtId="49" fontId="14" fillId="0" borderId="30" xfId="53" applyNumberFormat="1" applyFont="1" applyBorder="1" applyAlignment="1">
      <alignment vertical="center"/>
      <protection/>
    </xf>
    <xf numFmtId="0" fontId="47" fillId="0" borderId="0" xfId="42" applyNumberFormat="1" applyFill="1" applyBorder="1" applyAlignment="1" applyProtection="1" quotePrefix="1">
      <alignment vertical="top"/>
      <protection/>
    </xf>
    <xf numFmtId="49" fontId="62" fillId="0" borderId="30" xfId="54" applyNumberFormat="1" applyFont="1" applyFill="1" applyBorder="1" applyAlignment="1" applyProtection="1">
      <alignment vertical="center"/>
      <protection/>
    </xf>
    <xf numFmtId="0" fontId="63" fillId="0" borderId="30" xfId="54" applyNumberFormat="1" applyFont="1" applyFill="1" applyBorder="1" applyAlignment="1" applyProtection="1">
      <alignment vertical="center" wrapText="1"/>
      <protection/>
    </xf>
    <xf numFmtId="0" fontId="62" fillId="0" borderId="30" xfId="54" applyNumberFormat="1" applyFont="1" applyFill="1" applyBorder="1" applyAlignment="1" applyProtection="1">
      <alignment horizontal="center" vertical="center"/>
      <protection/>
    </xf>
    <xf numFmtId="0" fontId="62" fillId="0" borderId="0" xfId="54" applyNumberFormat="1" applyFont="1" applyFill="1" applyBorder="1" applyAlignment="1" applyProtection="1">
      <alignment vertical="top"/>
      <protection/>
    </xf>
    <xf numFmtId="0" fontId="64" fillId="0" borderId="30" xfId="54" applyNumberFormat="1" applyFont="1" applyFill="1" applyBorder="1" applyAlignment="1" applyProtection="1">
      <alignment vertical="center" wrapText="1"/>
      <protection/>
    </xf>
    <xf numFmtId="49" fontId="62" fillId="0" borderId="30" xfId="53" applyNumberFormat="1" applyFont="1" applyBorder="1" applyAlignment="1">
      <alignment vertical="center"/>
      <protection/>
    </xf>
    <xf numFmtId="0" fontId="65" fillId="0" borderId="30" xfId="0" applyFont="1" applyBorder="1" applyAlignment="1">
      <alignment horizontal="left"/>
    </xf>
    <xf numFmtId="0" fontId="66" fillId="0" borderId="30" xfId="0" applyFont="1" applyBorder="1" applyAlignment="1">
      <alignment wrapText="1"/>
    </xf>
    <xf numFmtId="0" fontId="65" fillId="0" borderId="41" xfId="0" applyFont="1" applyFill="1" applyBorder="1" applyAlignment="1">
      <alignment vertical="center"/>
    </xf>
    <xf numFmtId="0" fontId="65" fillId="0" borderId="30" xfId="0" applyFont="1" applyBorder="1" applyAlignment="1">
      <alignment wrapText="1"/>
    </xf>
    <xf numFmtId="0" fontId="65" fillId="0" borderId="30" xfId="0" applyFont="1" applyFill="1" applyBorder="1" applyAlignment="1">
      <alignment vertical="center"/>
    </xf>
    <xf numFmtId="0" fontId="67" fillId="0" borderId="30" xfId="53" applyFont="1" applyBorder="1" applyAlignment="1">
      <alignment vertical="center"/>
      <protection/>
    </xf>
    <xf numFmtId="0" fontId="9" fillId="0" borderId="30" xfId="54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Нормы времени для РМС" xfId="53"/>
    <cellStyle name="Обычный_Цены на текущий и капремонт газопроводов КТУ =1" xfId="54"/>
    <cellStyle name="Обычный_Цены на техн. обслуж.газ-дов для предпКТУ=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95250</xdr:colOff>
      <xdr:row>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47625</xdr:rowOff>
    </xdr:from>
    <xdr:to>
      <xdr:col>15</xdr:col>
      <xdr:colOff>114300</xdr:colOff>
      <xdr:row>16</xdr:row>
      <xdr:rowOff>57150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04950"/>
          <a:ext cx="9239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15</xdr:col>
      <xdr:colOff>95250</xdr:colOff>
      <xdr:row>23</xdr:row>
      <xdr:rowOff>104775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52725"/>
          <a:ext cx="923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15</xdr:col>
      <xdr:colOff>95250</xdr:colOff>
      <xdr:row>30</xdr:row>
      <xdr:rowOff>104775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86200"/>
          <a:ext cx="9239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5.7109375" style="2" customWidth="1"/>
    <col min="2" max="2" width="55.28125" style="1" customWidth="1"/>
    <col min="3" max="3" width="9.57421875" style="1" bestFit="1" customWidth="1"/>
    <col min="4" max="4" width="12.140625" style="1" customWidth="1"/>
    <col min="5" max="5" width="6.57421875" style="1" hidden="1" customWidth="1"/>
    <col min="6" max="6" width="7.8515625" style="1" hidden="1" customWidth="1"/>
    <col min="7" max="7" width="9.57421875" style="1" hidden="1" customWidth="1"/>
    <col min="8" max="8" width="6.57421875" style="1" hidden="1" customWidth="1"/>
    <col min="9" max="9" width="10.7109375" style="1" hidden="1" customWidth="1"/>
    <col min="10" max="10" width="11.7109375" style="1" hidden="1" customWidth="1"/>
    <col min="11" max="11" width="2.421875" style="1" customWidth="1"/>
    <col min="12" max="16384" width="9.140625" style="1" customWidth="1"/>
  </cols>
  <sheetData>
    <row r="2" ht="12">
      <c r="A2" s="1" t="s">
        <v>149</v>
      </c>
    </row>
    <row r="3" spans="1:10" ht="12.75" thickBot="1">
      <c r="A3" s="2" t="s">
        <v>0</v>
      </c>
      <c r="B3" s="85" t="s">
        <v>213</v>
      </c>
      <c r="H3" s="85">
        <v>1</v>
      </c>
      <c r="I3" s="85">
        <v>5.139</v>
      </c>
      <c r="J3" s="3" t="s">
        <v>34</v>
      </c>
    </row>
    <row r="4" spans="1:10" ht="69" customHeight="1" thickBot="1">
      <c r="A4" s="4" t="s">
        <v>1</v>
      </c>
      <c r="B4" s="5" t="s">
        <v>28</v>
      </c>
      <c r="C4" s="5" t="s">
        <v>29</v>
      </c>
      <c r="D4" s="5" t="s">
        <v>338</v>
      </c>
      <c r="E4" s="5" t="s">
        <v>15</v>
      </c>
      <c r="F4" s="6" t="s">
        <v>17</v>
      </c>
      <c r="G4" s="6" t="s">
        <v>17</v>
      </c>
      <c r="H4" s="93" t="s">
        <v>16</v>
      </c>
      <c r="I4" s="5" t="s">
        <v>207</v>
      </c>
      <c r="J4" s="5" t="s">
        <v>30</v>
      </c>
    </row>
    <row r="5" spans="1:10" s="9" customFormat="1" ht="12.75" thickBot="1">
      <c r="A5" s="7" t="s">
        <v>20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6</v>
      </c>
      <c r="H5" s="94">
        <v>7</v>
      </c>
      <c r="I5" s="8">
        <v>4</v>
      </c>
      <c r="J5" s="7" t="s">
        <v>84</v>
      </c>
    </row>
    <row r="6" spans="1:10" s="17" customFormat="1" ht="12" customHeight="1">
      <c r="A6" s="10" t="s">
        <v>34</v>
      </c>
      <c r="B6" s="11" t="s">
        <v>44</v>
      </c>
      <c r="C6" s="12"/>
      <c r="D6" s="118"/>
      <c r="E6" s="14"/>
      <c r="F6" s="14"/>
      <c r="G6" s="14"/>
      <c r="H6" s="95"/>
      <c r="I6" s="14"/>
      <c r="J6" s="16"/>
    </row>
    <row r="7" spans="1:10" s="17" customFormat="1" ht="12">
      <c r="A7" s="18" t="s">
        <v>214</v>
      </c>
      <c r="B7" s="19" t="s">
        <v>45</v>
      </c>
      <c r="C7" s="12"/>
      <c r="D7" s="12"/>
      <c r="E7" s="14"/>
      <c r="F7" s="14"/>
      <c r="G7" s="14"/>
      <c r="H7" s="95"/>
      <c r="I7" s="14"/>
      <c r="J7" s="16"/>
    </row>
    <row r="8" spans="1:10" s="17" customFormat="1" ht="12">
      <c r="A8" s="18"/>
      <c r="B8" s="19" t="s">
        <v>87</v>
      </c>
      <c r="C8" s="12"/>
      <c r="D8" s="12"/>
      <c r="E8" s="14"/>
      <c r="F8" s="14"/>
      <c r="G8" s="14"/>
      <c r="H8" s="95"/>
      <c r="I8" s="14"/>
      <c r="J8" s="16"/>
    </row>
    <row r="9" spans="1:10" s="17" customFormat="1" ht="12">
      <c r="A9" s="18"/>
      <c r="B9" s="20" t="s">
        <v>46</v>
      </c>
      <c r="C9" s="12"/>
      <c r="D9" s="12"/>
      <c r="E9" s="14"/>
      <c r="F9" s="14"/>
      <c r="G9" s="14"/>
      <c r="H9" s="95"/>
      <c r="I9" s="14"/>
      <c r="J9" s="16"/>
    </row>
    <row r="10" spans="1:10" s="17" customFormat="1" ht="12">
      <c r="A10" s="18" t="s">
        <v>34</v>
      </c>
      <c r="B10" s="16" t="s">
        <v>36</v>
      </c>
      <c r="C10" s="12" t="s">
        <v>47</v>
      </c>
      <c r="D10" s="14">
        <f>19.32*1.2</f>
        <v>23.184</v>
      </c>
      <c r="E10" s="14" t="s">
        <v>48</v>
      </c>
      <c r="F10" s="14">
        <v>10.4625</v>
      </c>
      <c r="G10" s="14">
        <f>F10*1.25</f>
        <v>13.078125</v>
      </c>
      <c r="H10" s="57">
        <f>D10*1.15*(1+$H$3)*G10</f>
        <v>697.367475</v>
      </c>
      <c r="I10" s="96">
        <f>H10*$I$3</f>
        <v>3583.7714540250004</v>
      </c>
      <c r="J10" s="24">
        <f>I10*1.25</f>
        <v>4479.71431753125</v>
      </c>
    </row>
    <row r="11" spans="1:10" s="17" customFormat="1" ht="12">
      <c r="A11" s="18" t="s">
        <v>34</v>
      </c>
      <c r="B11" s="20" t="s">
        <v>38</v>
      </c>
      <c r="C11" s="12" t="s">
        <v>39</v>
      </c>
      <c r="D11" s="14">
        <f>26.91*1.2</f>
        <v>32.292</v>
      </c>
      <c r="E11" s="14" t="s">
        <v>49</v>
      </c>
      <c r="F11" s="14">
        <v>10.975</v>
      </c>
      <c r="G11" s="14">
        <f>F11*1.25</f>
        <v>13.71875</v>
      </c>
      <c r="H11" s="57">
        <f>D11*1.15*(1+$H$3)*G11</f>
        <v>1018.9135124999999</v>
      </c>
      <c r="I11" s="96">
        <f>H11*$I$3</f>
        <v>5236.1965407375</v>
      </c>
      <c r="J11" s="24">
        <f>I11*1.25</f>
        <v>6545.245675921875</v>
      </c>
    </row>
    <row r="12" spans="1:10" s="17" customFormat="1" ht="12">
      <c r="A12" s="18" t="s">
        <v>34</v>
      </c>
      <c r="B12" s="20" t="s">
        <v>40</v>
      </c>
      <c r="C12" s="12" t="s">
        <v>39</v>
      </c>
      <c r="D12" s="14">
        <f>45.99*1.2</f>
        <v>55.188</v>
      </c>
      <c r="E12" s="14" t="s">
        <v>49</v>
      </c>
      <c r="F12" s="14">
        <v>10.975</v>
      </c>
      <c r="G12" s="14">
        <f>F12*1.25</f>
        <v>13.71875</v>
      </c>
      <c r="H12" s="57">
        <f>D12*1.15*(1+$H$3)*G12</f>
        <v>1741.3538625</v>
      </c>
      <c r="I12" s="96">
        <f>H12*$I$3</f>
        <v>8948.817499387502</v>
      </c>
      <c r="J12" s="24">
        <f>I12*1.25</f>
        <v>11186.021874234377</v>
      </c>
    </row>
    <row r="13" spans="1:10" s="17" customFormat="1" ht="12">
      <c r="A13" s="18" t="s">
        <v>215</v>
      </c>
      <c r="B13" s="19" t="s">
        <v>88</v>
      </c>
      <c r="C13" s="12"/>
      <c r="D13" s="14"/>
      <c r="E13" s="14"/>
      <c r="F13" s="14"/>
      <c r="G13" s="14"/>
      <c r="H13" s="95"/>
      <c r="I13" s="14"/>
      <c r="J13" s="16"/>
    </row>
    <row r="14" spans="1:10" s="17" customFormat="1" ht="12">
      <c r="A14" s="18"/>
      <c r="B14" s="16" t="s">
        <v>36</v>
      </c>
      <c r="C14" s="12" t="s">
        <v>50</v>
      </c>
      <c r="D14" s="14" t="s">
        <v>202</v>
      </c>
      <c r="E14" s="25">
        <v>3</v>
      </c>
      <c r="F14" s="14">
        <v>9.355</v>
      </c>
      <c r="G14" s="14">
        <f>F14*1.25</f>
        <v>11.693750000000001</v>
      </c>
      <c r="H14" s="57">
        <f>D14*1.15*(1+$H$3)*G14</f>
        <v>601708.9225000001</v>
      </c>
      <c r="I14" s="96">
        <f>H14*$I$3</f>
        <v>3092182.1527275005</v>
      </c>
      <c r="J14" s="24">
        <f>I14*1.25</f>
        <v>3865227.6909093754</v>
      </c>
    </row>
    <row r="15" spans="1:10" s="17" customFormat="1" ht="12">
      <c r="A15" s="18"/>
      <c r="B15" s="20" t="s">
        <v>38</v>
      </c>
      <c r="C15" s="12" t="s">
        <v>39</v>
      </c>
      <c r="D15" s="14" t="s">
        <v>203</v>
      </c>
      <c r="E15" s="25">
        <v>4</v>
      </c>
      <c r="F15" s="14">
        <v>10.36875</v>
      </c>
      <c r="G15" s="14">
        <f>F15*1.25</f>
        <v>12.9609375</v>
      </c>
      <c r="H15" s="57">
        <f>D15*1.15*(1+$H$3)*G15</f>
        <v>1017152.3414062499</v>
      </c>
      <c r="I15" s="96">
        <f>H15*$I$3</f>
        <v>5227145.882486719</v>
      </c>
      <c r="J15" s="24">
        <f>I15*1.25</f>
        <v>6533932.353108399</v>
      </c>
    </row>
    <row r="16" spans="1:10" s="17" customFormat="1" ht="12">
      <c r="A16" s="18"/>
      <c r="B16" s="20" t="s">
        <v>40</v>
      </c>
      <c r="C16" s="12" t="s">
        <v>39</v>
      </c>
      <c r="D16" s="14" t="s">
        <v>204</v>
      </c>
      <c r="E16" s="25">
        <v>4</v>
      </c>
      <c r="F16" s="14">
        <v>10.36875</v>
      </c>
      <c r="G16" s="14">
        <f>F16*1.25</f>
        <v>12.9609375</v>
      </c>
      <c r="H16" s="57">
        <f>D16*1.15*(1+$H$3)*G16</f>
        <v>355724.59453124995</v>
      </c>
      <c r="I16" s="96">
        <f>H16*$I$3</f>
        <v>1828068.6912960936</v>
      </c>
      <c r="J16" s="24">
        <f>I16*1.25</f>
        <v>2285085.864120117</v>
      </c>
    </row>
    <row r="17" spans="1:10" s="17" customFormat="1" ht="12">
      <c r="A17" s="18" t="s">
        <v>216</v>
      </c>
      <c r="B17" s="19" t="s">
        <v>89</v>
      </c>
      <c r="C17" s="12"/>
      <c r="D17" s="14"/>
      <c r="E17" s="14"/>
      <c r="F17" s="14"/>
      <c r="G17" s="14"/>
      <c r="H17" s="95"/>
      <c r="I17" s="14"/>
      <c r="J17" s="16"/>
    </row>
    <row r="18" spans="1:10" s="17" customFormat="1" ht="12">
      <c r="A18" s="18"/>
      <c r="B18" s="16" t="s">
        <v>36</v>
      </c>
      <c r="C18" s="12" t="s">
        <v>51</v>
      </c>
      <c r="D18" s="14" t="s">
        <v>196</v>
      </c>
      <c r="E18" s="12" t="s">
        <v>52</v>
      </c>
      <c r="F18" s="14">
        <v>9.6925</v>
      </c>
      <c r="G18" s="14">
        <f>F18*1.25</f>
        <v>12.115625000000001</v>
      </c>
      <c r="H18" s="57">
        <f>D18*1.15*(1+$H$3)*G18</f>
        <v>978791.0546875001</v>
      </c>
      <c r="I18" s="96">
        <f>H18*$I$3</f>
        <v>5030007.230039063</v>
      </c>
      <c r="J18" s="24">
        <f>I18*1.25</f>
        <v>6287509.037548829</v>
      </c>
    </row>
    <row r="19" spans="1:10" s="17" customFormat="1" ht="12">
      <c r="A19" s="18"/>
      <c r="B19" s="20" t="s">
        <v>38</v>
      </c>
      <c r="C19" s="12" t="s">
        <v>39</v>
      </c>
      <c r="D19" s="14" t="s">
        <v>163</v>
      </c>
      <c r="E19" s="12" t="s">
        <v>31</v>
      </c>
      <c r="F19" s="14">
        <v>10.36875</v>
      </c>
      <c r="G19" s="14">
        <f>F19*1.25</f>
        <v>12.9609375</v>
      </c>
      <c r="H19" s="57">
        <f>D19*1.15*(1+$H$3)*G19</f>
        <v>975418.1226562499</v>
      </c>
      <c r="I19" s="96">
        <f>H19*$I$3</f>
        <v>5012673.7323304685</v>
      </c>
      <c r="J19" s="24">
        <f>I19*1.25</f>
        <v>6265842.165413085</v>
      </c>
    </row>
    <row r="20" spans="1:10" s="17" customFormat="1" ht="12">
      <c r="A20" s="18"/>
      <c r="B20" s="20" t="s">
        <v>40</v>
      </c>
      <c r="C20" s="12" t="s">
        <v>39</v>
      </c>
      <c r="D20" s="14" t="s">
        <v>195</v>
      </c>
      <c r="E20" s="12" t="s">
        <v>31</v>
      </c>
      <c r="F20" s="14">
        <v>10.36875</v>
      </c>
      <c r="G20" s="14">
        <f>F20*1.25</f>
        <v>12.9609375</v>
      </c>
      <c r="H20" s="57" t="e">
        <f>D20*1.15*(1+$H$3)*G20</f>
        <v>#VALUE!</v>
      </c>
      <c r="I20" s="96" t="e">
        <f>H20*$I$3</f>
        <v>#VALUE!</v>
      </c>
      <c r="J20" s="24" t="e">
        <f>I20*1.25</f>
        <v>#VALUE!</v>
      </c>
    </row>
    <row r="21" spans="1:10" s="17" customFormat="1" ht="12">
      <c r="A21" s="18" t="s">
        <v>217</v>
      </c>
      <c r="B21" s="26" t="s">
        <v>90</v>
      </c>
      <c r="C21" s="27"/>
      <c r="D21" s="14"/>
      <c r="E21" s="12"/>
      <c r="F21" s="14"/>
      <c r="G21" s="14"/>
      <c r="H21" s="95"/>
      <c r="I21" s="14"/>
      <c r="J21" s="16"/>
    </row>
    <row r="22" spans="1:10" s="17" customFormat="1" ht="12">
      <c r="A22" s="18"/>
      <c r="B22" s="16" t="s">
        <v>36</v>
      </c>
      <c r="C22" s="12" t="s">
        <v>53</v>
      </c>
      <c r="D22" s="14">
        <v>1.8</v>
      </c>
      <c r="E22" s="12" t="s">
        <v>54</v>
      </c>
      <c r="F22" s="14">
        <v>10.495</v>
      </c>
      <c r="G22" s="14">
        <f>F22*1.25</f>
        <v>13.118749999999999</v>
      </c>
      <c r="H22" s="57">
        <f>D22*1.15*(1+$H$3)*G22</f>
        <v>54.31162499999999</v>
      </c>
      <c r="I22" s="96">
        <f>H22*$I$3</f>
        <v>279.10744087499995</v>
      </c>
      <c r="J22" s="24">
        <f>I22*1.25</f>
        <v>348.88430109374997</v>
      </c>
    </row>
    <row r="23" spans="1:10" s="17" customFormat="1" ht="12">
      <c r="A23" s="18"/>
      <c r="B23" s="20" t="s">
        <v>38</v>
      </c>
      <c r="C23" s="12" t="s">
        <v>39</v>
      </c>
      <c r="D23" s="14">
        <v>2.67</v>
      </c>
      <c r="E23" s="12" t="s">
        <v>49</v>
      </c>
      <c r="F23" s="14">
        <v>11.17125</v>
      </c>
      <c r="G23" s="14">
        <f>F23*1.25</f>
        <v>13.9640625</v>
      </c>
      <c r="H23" s="57">
        <f>D23*1.15*(1+$H$3)*G23</f>
        <v>85.7533078125</v>
      </c>
      <c r="I23" s="96">
        <f>H23*$I$3</f>
        <v>440.6862488484375</v>
      </c>
      <c r="J23" s="24">
        <f>I23*1.25</f>
        <v>550.8578110605469</v>
      </c>
    </row>
    <row r="24" spans="1:10" s="17" customFormat="1" ht="12">
      <c r="A24" s="28"/>
      <c r="B24" s="29" t="s">
        <v>40</v>
      </c>
      <c r="C24" s="30" t="s">
        <v>39</v>
      </c>
      <c r="D24" s="32">
        <v>7.23</v>
      </c>
      <c r="E24" s="30" t="s">
        <v>49</v>
      </c>
      <c r="F24" s="32">
        <v>11.17125</v>
      </c>
      <c r="G24" s="32">
        <f>F24*1.25</f>
        <v>13.9640625</v>
      </c>
      <c r="H24" s="87">
        <f>D24*1.15*(1+$H$3)*G24</f>
        <v>232.20839531250002</v>
      </c>
      <c r="I24" s="97">
        <f>H24*$I$3</f>
        <v>1193.3189435109377</v>
      </c>
      <c r="J24" s="35">
        <f>I24*1.25</f>
        <v>1491.6486793886722</v>
      </c>
    </row>
    <row r="25" spans="1:10" s="17" customFormat="1" ht="12">
      <c r="A25" s="18" t="s">
        <v>218</v>
      </c>
      <c r="B25" s="19" t="s">
        <v>45</v>
      </c>
      <c r="C25" s="12"/>
      <c r="D25" s="14"/>
      <c r="E25" s="12"/>
      <c r="F25" s="14"/>
      <c r="G25" s="14"/>
      <c r="H25" s="95"/>
      <c r="I25" s="14"/>
      <c r="J25" s="16"/>
    </row>
    <row r="26" spans="1:10" s="17" customFormat="1" ht="12">
      <c r="A26" s="18"/>
      <c r="B26" s="19" t="s">
        <v>91</v>
      </c>
      <c r="C26" s="12"/>
      <c r="D26" s="14"/>
      <c r="E26" s="12"/>
      <c r="F26" s="14"/>
      <c r="G26" s="14"/>
      <c r="H26" s="95"/>
      <c r="I26" s="14"/>
      <c r="J26" s="16"/>
    </row>
    <row r="27" spans="1:10" s="17" customFormat="1" ht="12">
      <c r="A27" s="18"/>
      <c r="B27" s="20" t="s">
        <v>46</v>
      </c>
      <c r="C27" s="12"/>
      <c r="D27" s="14"/>
      <c r="E27" s="12"/>
      <c r="F27" s="14"/>
      <c r="G27" s="14"/>
      <c r="H27" s="95"/>
      <c r="I27" s="14"/>
      <c r="J27" s="16"/>
    </row>
    <row r="28" spans="1:10" s="17" customFormat="1" ht="12">
      <c r="A28" s="18" t="s">
        <v>34</v>
      </c>
      <c r="B28" s="16" t="s">
        <v>36</v>
      </c>
      <c r="C28" s="12" t="s">
        <v>47</v>
      </c>
      <c r="D28" s="14">
        <f>24.29*1.2</f>
        <v>29.147999999999996</v>
      </c>
      <c r="E28" s="14" t="s">
        <v>48</v>
      </c>
      <c r="F28" s="14">
        <v>10.4625</v>
      </c>
      <c r="G28" s="14">
        <f>F28*1.25</f>
        <v>13.078125</v>
      </c>
      <c r="H28" s="57">
        <f>D28*1.15*(1+$H$3)*G28</f>
        <v>876.7627312499999</v>
      </c>
      <c r="I28" s="96">
        <f>H28*$I$3</f>
        <v>4505.68367589375</v>
      </c>
      <c r="J28" s="24">
        <f>I28*1.25</f>
        <v>5632.104594867187</v>
      </c>
    </row>
    <row r="29" spans="1:10" s="17" customFormat="1" ht="12">
      <c r="A29" s="18" t="s">
        <v>34</v>
      </c>
      <c r="B29" s="20" t="s">
        <v>38</v>
      </c>
      <c r="C29" s="12" t="s">
        <v>39</v>
      </c>
      <c r="D29" s="14">
        <f>32.4*1.2</f>
        <v>38.879999999999995</v>
      </c>
      <c r="E29" s="14" t="s">
        <v>49</v>
      </c>
      <c r="F29" s="14">
        <v>10.975</v>
      </c>
      <c r="G29" s="14">
        <f>F29*1.25</f>
        <v>13.71875</v>
      </c>
      <c r="H29" s="57">
        <f>D29*1.15*(1+$H$3)*G29</f>
        <v>1226.7854999999997</v>
      </c>
      <c r="I29" s="96">
        <f>H29*$I$3</f>
        <v>6304.450684499999</v>
      </c>
      <c r="J29" s="24">
        <f>I29*1.25</f>
        <v>7880.563355624999</v>
      </c>
    </row>
    <row r="30" spans="1:10" s="17" customFormat="1" ht="12">
      <c r="A30" s="18" t="s">
        <v>34</v>
      </c>
      <c r="B30" s="20" t="s">
        <v>40</v>
      </c>
      <c r="C30" s="12" t="s">
        <v>39</v>
      </c>
      <c r="D30" s="14">
        <f>50.95*1.2</f>
        <v>61.14</v>
      </c>
      <c r="E30" s="14" t="s">
        <v>49</v>
      </c>
      <c r="F30" s="14">
        <v>10.975</v>
      </c>
      <c r="G30" s="14">
        <f>F30*1.25</f>
        <v>13.71875</v>
      </c>
      <c r="H30" s="57">
        <f>D30*1.15*(1+$H$3)*G30</f>
        <v>1929.1580625</v>
      </c>
      <c r="I30" s="96">
        <f>H30*$I$3</f>
        <v>9913.9432831875</v>
      </c>
      <c r="J30" s="24">
        <f>I30*1.25</f>
        <v>12392.429103984376</v>
      </c>
    </row>
    <row r="31" spans="1:10" s="17" customFormat="1" ht="12">
      <c r="A31" s="18" t="s">
        <v>219</v>
      </c>
      <c r="B31" s="19" t="s">
        <v>88</v>
      </c>
      <c r="C31" s="12"/>
      <c r="D31" s="14"/>
      <c r="E31" s="14"/>
      <c r="F31" s="14"/>
      <c r="G31" s="14"/>
      <c r="H31" s="95"/>
      <c r="I31" s="14"/>
      <c r="J31" s="16"/>
    </row>
    <row r="32" spans="1:10" s="17" customFormat="1" ht="12">
      <c r="A32" s="18"/>
      <c r="B32" s="16" t="s">
        <v>36</v>
      </c>
      <c r="C32" s="12" t="s">
        <v>50</v>
      </c>
      <c r="D32" s="14" t="s">
        <v>202</v>
      </c>
      <c r="E32" s="25">
        <v>3</v>
      </c>
      <c r="F32" s="14">
        <v>9.355</v>
      </c>
      <c r="G32" s="14">
        <f>F32*1.25</f>
        <v>11.693750000000001</v>
      </c>
      <c r="H32" s="57">
        <f>D32*1.15*(1+$H$3)*G32</f>
        <v>601708.9225000001</v>
      </c>
      <c r="I32" s="96">
        <f>H32*$I$3</f>
        <v>3092182.1527275005</v>
      </c>
      <c r="J32" s="24">
        <f>I32*1.25</f>
        <v>3865227.6909093754</v>
      </c>
    </row>
    <row r="33" spans="1:10" s="17" customFormat="1" ht="12">
      <c r="A33" s="18"/>
      <c r="B33" s="20" t="s">
        <v>38</v>
      </c>
      <c r="C33" s="12" t="s">
        <v>39</v>
      </c>
      <c r="D33" s="14" t="s">
        <v>203</v>
      </c>
      <c r="E33" s="25">
        <v>4</v>
      </c>
      <c r="F33" s="14">
        <v>10.36875</v>
      </c>
      <c r="G33" s="14">
        <f>F33*1.25</f>
        <v>12.9609375</v>
      </c>
      <c r="H33" s="57">
        <f>D33*1.15*(1+$H$3)*G33</f>
        <v>1017152.3414062499</v>
      </c>
      <c r="I33" s="96">
        <f>H33*$I$3</f>
        <v>5227145.882486719</v>
      </c>
      <c r="J33" s="24">
        <f>I33*1.25</f>
        <v>6533932.353108399</v>
      </c>
    </row>
    <row r="34" spans="1:10" s="17" customFormat="1" ht="12">
      <c r="A34" s="18"/>
      <c r="B34" s="20" t="s">
        <v>40</v>
      </c>
      <c r="C34" s="12" t="s">
        <v>39</v>
      </c>
      <c r="D34" s="14" t="s">
        <v>204</v>
      </c>
      <c r="E34" s="25">
        <v>4</v>
      </c>
      <c r="F34" s="14">
        <v>10.36875</v>
      </c>
      <c r="G34" s="14">
        <f>F34*1.25</f>
        <v>12.9609375</v>
      </c>
      <c r="H34" s="57">
        <f>D34*1.15*(1+$H$3)*G34</f>
        <v>355724.59453124995</v>
      </c>
      <c r="I34" s="96">
        <f>H34*$I$3</f>
        <v>1828068.6912960936</v>
      </c>
      <c r="J34" s="24">
        <f>I34*1.25</f>
        <v>2285085.864120117</v>
      </c>
    </row>
    <row r="35" spans="1:10" s="17" customFormat="1" ht="12">
      <c r="A35" s="18" t="s">
        <v>220</v>
      </c>
      <c r="B35" s="19" t="s">
        <v>89</v>
      </c>
      <c r="C35" s="12"/>
      <c r="D35" s="14"/>
      <c r="E35" s="14"/>
      <c r="F35" s="14"/>
      <c r="G35" s="14"/>
      <c r="H35" s="95"/>
      <c r="I35" s="14"/>
      <c r="J35" s="16"/>
    </row>
    <row r="36" spans="1:10" s="17" customFormat="1" ht="12">
      <c r="A36" s="18"/>
      <c r="B36" s="16" t="s">
        <v>36</v>
      </c>
      <c r="C36" s="12" t="s">
        <v>51</v>
      </c>
      <c r="D36" s="14" t="s">
        <v>192</v>
      </c>
      <c r="E36" s="12" t="s">
        <v>52</v>
      </c>
      <c r="F36" s="14">
        <v>9.6925</v>
      </c>
      <c r="G36" s="14">
        <f>F36*1.25</f>
        <v>12.115625000000001</v>
      </c>
      <c r="H36" s="57">
        <f>D36*1.15*(1+$H$3)*G36</f>
        <v>1177280.1275000002</v>
      </c>
      <c r="I36" s="96">
        <f>H36*$I$3</f>
        <v>6050042.5752225015</v>
      </c>
      <c r="J36" s="24">
        <f>I36*1.25</f>
        <v>7562553.219028126</v>
      </c>
    </row>
    <row r="37" spans="1:10" s="17" customFormat="1" ht="12">
      <c r="A37" s="18"/>
      <c r="B37" s="20" t="s">
        <v>38</v>
      </c>
      <c r="C37" s="12" t="s">
        <v>39</v>
      </c>
      <c r="D37" s="14" t="s">
        <v>205</v>
      </c>
      <c r="E37" s="12" t="s">
        <v>31</v>
      </c>
      <c r="F37" s="14">
        <v>10.36875</v>
      </c>
      <c r="G37" s="14">
        <f>F37*1.25</f>
        <v>12.9609375</v>
      </c>
      <c r="H37" s="57">
        <f>D37*1.15*(1+$H$3)*G37</f>
        <v>1324226.7609374998</v>
      </c>
      <c r="I37" s="96">
        <f>H37*$I$3</f>
        <v>6805201.324457812</v>
      </c>
      <c r="J37" s="24">
        <f>I37*1.25</f>
        <v>8506501.655572265</v>
      </c>
    </row>
    <row r="38" spans="1:10" s="17" customFormat="1" ht="12">
      <c r="A38" s="18"/>
      <c r="B38" s="20" t="s">
        <v>40</v>
      </c>
      <c r="C38" s="12" t="s">
        <v>39</v>
      </c>
      <c r="D38" s="14" t="s">
        <v>206</v>
      </c>
      <c r="E38" s="12" t="s">
        <v>31</v>
      </c>
      <c r="F38" s="14">
        <v>10.36875</v>
      </c>
      <c r="G38" s="14">
        <f>F38*1.25</f>
        <v>12.9609375</v>
      </c>
      <c r="H38" s="57" t="e">
        <f>D38*1.15*(1+$H$3)*G38</f>
        <v>#VALUE!</v>
      </c>
      <c r="I38" s="96" t="e">
        <f>H38*$I$3</f>
        <v>#VALUE!</v>
      </c>
      <c r="J38" s="24" t="e">
        <f>I38*1.25</f>
        <v>#VALUE!</v>
      </c>
    </row>
    <row r="39" spans="1:10" s="17" customFormat="1" ht="12">
      <c r="A39" s="18" t="s">
        <v>221</v>
      </c>
      <c r="B39" s="26" t="s">
        <v>92</v>
      </c>
      <c r="C39" s="27"/>
      <c r="D39" s="14"/>
      <c r="E39" s="12"/>
      <c r="F39" s="14"/>
      <c r="G39" s="14"/>
      <c r="H39" s="95"/>
      <c r="I39" s="14"/>
      <c r="J39" s="16"/>
    </row>
    <row r="40" spans="1:10" s="17" customFormat="1" ht="12">
      <c r="A40" s="18"/>
      <c r="B40" s="16" t="s">
        <v>36</v>
      </c>
      <c r="C40" s="12" t="s">
        <v>53</v>
      </c>
      <c r="D40" s="14">
        <v>1.8</v>
      </c>
      <c r="E40" s="12" t="s">
        <v>54</v>
      </c>
      <c r="F40" s="14">
        <v>10.495</v>
      </c>
      <c r="G40" s="14">
        <f>F40*1.25</f>
        <v>13.118749999999999</v>
      </c>
      <c r="H40" s="57">
        <f>D40*1.15*(1+$H$3)*G40</f>
        <v>54.31162499999999</v>
      </c>
      <c r="I40" s="96">
        <f>H40*$I$3</f>
        <v>279.10744087499995</v>
      </c>
      <c r="J40" s="24">
        <f>I40*1.25</f>
        <v>348.88430109374997</v>
      </c>
    </row>
    <row r="41" spans="1:10" s="17" customFormat="1" ht="12">
      <c r="A41" s="18"/>
      <c r="B41" s="20" t="s">
        <v>38</v>
      </c>
      <c r="C41" s="12" t="s">
        <v>39</v>
      </c>
      <c r="D41" s="14">
        <v>2.67</v>
      </c>
      <c r="E41" s="12" t="s">
        <v>49</v>
      </c>
      <c r="F41" s="14">
        <v>11.17125</v>
      </c>
      <c r="G41" s="14">
        <f>F41*1.25</f>
        <v>13.9640625</v>
      </c>
      <c r="H41" s="57">
        <f>D41*1.15*(1+$H$3)*G41</f>
        <v>85.7533078125</v>
      </c>
      <c r="I41" s="96">
        <f>H41*$I$3</f>
        <v>440.6862488484375</v>
      </c>
      <c r="J41" s="24">
        <f>I41*1.25</f>
        <v>550.8578110605469</v>
      </c>
    </row>
    <row r="42" spans="1:10" s="17" customFormat="1" ht="12">
      <c r="A42" s="28"/>
      <c r="B42" s="29" t="s">
        <v>40</v>
      </c>
      <c r="C42" s="30" t="s">
        <v>39</v>
      </c>
      <c r="D42" s="32">
        <v>7.23</v>
      </c>
      <c r="E42" s="30" t="s">
        <v>49</v>
      </c>
      <c r="F42" s="32">
        <v>11.17125</v>
      </c>
      <c r="G42" s="32">
        <f>F42*1.25</f>
        <v>13.9640625</v>
      </c>
      <c r="H42" s="87">
        <f>D42*1.15*(1+$H$3)*G42</f>
        <v>232.20839531250002</v>
      </c>
      <c r="I42" s="97">
        <f>H42*$I$3</f>
        <v>1193.3189435109377</v>
      </c>
      <c r="J42" s="35">
        <f>I42*1.25</f>
        <v>1491.6486793886722</v>
      </c>
    </row>
    <row r="43" spans="1:10" s="17" customFormat="1" ht="12">
      <c r="A43" s="18" t="s">
        <v>222</v>
      </c>
      <c r="B43" s="19" t="s">
        <v>55</v>
      </c>
      <c r="C43" s="12"/>
      <c r="D43" s="14"/>
      <c r="E43" s="12"/>
      <c r="F43" s="14"/>
      <c r="G43" s="14"/>
      <c r="H43" s="95"/>
      <c r="I43" s="14"/>
      <c r="J43" s="16"/>
    </row>
    <row r="44" spans="1:10" s="17" customFormat="1" ht="12">
      <c r="A44" s="18"/>
      <c r="B44" s="19" t="s">
        <v>93</v>
      </c>
      <c r="C44" s="12"/>
      <c r="D44" s="14"/>
      <c r="E44" s="12"/>
      <c r="F44" s="14"/>
      <c r="G44" s="14"/>
      <c r="H44" s="95"/>
      <c r="I44" s="14"/>
      <c r="J44" s="16"/>
    </row>
    <row r="45" spans="1:10" s="17" customFormat="1" ht="12">
      <c r="A45" s="18"/>
      <c r="B45" s="20" t="s">
        <v>56</v>
      </c>
      <c r="C45" s="12"/>
      <c r="D45" s="14"/>
      <c r="E45" s="12"/>
      <c r="F45" s="14"/>
      <c r="G45" s="14"/>
      <c r="H45" s="95"/>
      <c r="I45" s="14"/>
      <c r="J45" s="16"/>
    </row>
    <row r="46" spans="1:10" s="17" customFormat="1" ht="12">
      <c r="A46" s="18" t="s">
        <v>34</v>
      </c>
      <c r="B46" s="16" t="s">
        <v>36</v>
      </c>
      <c r="C46" s="12" t="s">
        <v>47</v>
      </c>
      <c r="D46" s="14">
        <f>17.22*1.2</f>
        <v>20.663999999999998</v>
      </c>
      <c r="E46" s="14" t="s">
        <v>48</v>
      </c>
      <c r="F46" s="14">
        <v>10.4625</v>
      </c>
      <c r="G46" s="14">
        <f>F46*1.25</f>
        <v>13.078125</v>
      </c>
      <c r="H46" s="57">
        <f>D46*1.15*(1+$H$3)*G46</f>
        <v>621.5666624999999</v>
      </c>
      <c r="I46" s="96">
        <f>H46*$I$3</f>
        <v>3194.2310785874997</v>
      </c>
      <c r="J46" s="24">
        <f>I46*1.25</f>
        <v>3992.7888482343747</v>
      </c>
    </row>
    <row r="47" spans="1:10" s="17" customFormat="1" ht="12">
      <c r="A47" s="18" t="s">
        <v>34</v>
      </c>
      <c r="B47" s="20" t="s">
        <v>38</v>
      </c>
      <c r="C47" s="12" t="s">
        <v>39</v>
      </c>
      <c r="D47" s="14">
        <f>24.68*1.2</f>
        <v>29.616</v>
      </c>
      <c r="E47" s="14" t="s">
        <v>49</v>
      </c>
      <c r="F47" s="14">
        <v>10.975</v>
      </c>
      <c r="G47" s="14">
        <f>F47*1.25</f>
        <v>13.71875</v>
      </c>
      <c r="H47" s="57">
        <f>D47*1.15*(1+$H$3)*G47</f>
        <v>934.47735</v>
      </c>
      <c r="I47" s="96">
        <f>H47*$I$3</f>
        <v>4802.2791016500005</v>
      </c>
      <c r="J47" s="24">
        <f>I47*1.25</f>
        <v>6002.848877062501</v>
      </c>
    </row>
    <row r="48" spans="1:10" s="17" customFormat="1" ht="12">
      <c r="A48" s="18" t="s">
        <v>34</v>
      </c>
      <c r="B48" s="20" t="s">
        <v>40</v>
      </c>
      <c r="C48" s="12" t="s">
        <v>39</v>
      </c>
      <c r="D48" s="14">
        <f>42.54*1.2</f>
        <v>51.047999999999995</v>
      </c>
      <c r="E48" s="14" t="s">
        <v>49</v>
      </c>
      <c r="F48" s="14">
        <v>10.975</v>
      </c>
      <c r="G48" s="14">
        <f>F48*1.25</f>
        <v>13.71875</v>
      </c>
      <c r="H48" s="57">
        <f>D48*1.15*(1+$H$3)*G48</f>
        <v>1610.7239249999998</v>
      </c>
      <c r="I48" s="96">
        <f>H48*$I$3</f>
        <v>8277.510250575</v>
      </c>
      <c r="J48" s="24">
        <f>I48*1.25</f>
        <v>10346.88781321875</v>
      </c>
    </row>
    <row r="49" spans="1:10" s="17" customFormat="1" ht="12">
      <c r="A49" s="18" t="s">
        <v>223</v>
      </c>
      <c r="B49" s="19" t="s">
        <v>94</v>
      </c>
      <c r="C49" s="12"/>
      <c r="D49" s="14"/>
      <c r="E49" s="14"/>
      <c r="F49" s="14"/>
      <c r="G49" s="14"/>
      <c r="H49" s="95"/>
      <c r="I49" s="14"/>
      <c r="J49" s="16"/>
    </row>
    <row r="50" spans="1:10" s="17" customFormat="1" ht="12">
      <c r="A50" s="18"/>
      <c r="B50" s="16" t="s">
        <v>36</v>
      </c>
      <c r="C50" s="12" t="s">
        <v>57</v>
      </c>
      <c r="D50" s="14" t="s">
        <v>160</v>
      </c>
      <c r="E50" s="25">
        <v>3</v>
      </c>
      <c r="F50" s="14">
        <v>9.355</v>
      </c>
      <c r="G50" s="14">
        <f>F50*1.25</f>
        <v>11.693750000000001</v>
      </c>
      <c r="H50" s="57">
        <f>D50*1.15*(1+$H$3)*G50</f>
        <v>501872.36250000005</v>
      </c>
      <c r="I50" s="96">
        <f>H50*$I$3</f>
        <v>2579122.0708875004</v>
      </c>
      <c r="J50" s="24">
        <f>I50*1.25</f>
        <v>3223902.5886093755</v>
      </c>
    </row>
    <row r="51" spans="1:10" s="17" customFormat="1" ht="12">
      <c r="A51" s="18"/>
      <c r="B51" s="20" t="s">
        <v>38</v>
      </c>
      <c r="C51" s="12" t="s">
        <v>39</v>
      </c>
      <c r="D51" s="14" t="s">
        <v>194</v>
      </c>
      <c r="E51" s="25">
        <v>4</v>
      </c>
      <c r="F51" s="14">
        <v>10.36875</v>
      </c>
      <c r="G51" s="14">
        <f>F51*1.25</f>
        <v>12.9609375</v>
      </c>
      <c r="H51" s="57">
        <f>D51*1.15*(1+$H$3)*G51</f>
        <v>1276649.7515625</v>
      </c>
      <c r="I51" s="96">
        <f>H51*$I$3</f>
        <v>6560703.073279687</v>
      </c>
      <c r="J51" s="24">
        <f>I51*1.25</f>
        <v>8200878.841599609</v>
      </c>
    </row>
    <row r="52" spans="1:10" s="17" customFormat="1" ht="12">
      <c r="A52" s="18"/>
      <c r="B52" s="20" t="s">
        <v>40</v>
      </c>
      <c r="C52" s="12" t="s">
        <v>39</v>
      </c>
      <c r="D52" s="14" t="s">
        <v>193</v>
      </c>
      <c r="E52" s="25">
        <v>4</v>
      </c>
      <c r="F52" s="14">
        <v>10.36875</v>
      </c>
      <c r="G52" s="14">
        <f>F52*1.25</f>
        <v>12.9609375</v>
      </c>
      <c r="H52" s="57">
        <f>D52*1.15*(1+$H$3)*G52</f>
        <v>961794.88125</v>
      </c>
      <c r="I52" s="96">
        <f>H52*$I$3</f>
        <v>4942663.89474375</v>
      </c>
      <c r="J52" s="24">
        <f>I52*1.25</f>
        <v>6178329.868429687</v>
      </c>
    </row>
    <row r="53" spans="1:10" s="17" customFormat="1" ht="12">
      <c r="A53" s="18" t="s">
        <v>224</v>
      </c>
      <c r="B53" s="19" t="s">
        <v>89</v>
      </c>
      <c r="C53" s="12"/>
      <c r="D53" s="14"/>
      <c r="E53" s="14"/>
      <c r="F53" s="14"/>
      <c r="G53" s="14"/>
      <c r="H53" s="95"/>
      <c r="I53" s="14"/>
      <c r="J53" s="16"/>
    </row>
    <row r="54" spans="1:10" s="17" customFormat="1" ht="12">
      <c r="A54" s="18"/>
      <c r="B54" s="16" t="s">
        <v>36</v>
      </c>
      <c r="C54" s="12" t="s">
        <v>51</v>
      </c>
      <c r="D54" s="14" t="s">
        <v>196</v>
      </c>
      <c r="E54" s="12" t="s">
        <v>52</v>
      </c>
      <c r="F54" s="14">
        <v>9.6925</v>
      </c>
      <c r="G54" s="14">
        <f>F54*1.25</f>
        <v>12.115625000000001</v>
      </c>
      <c r="H54" s="57">
        <f>D54*1.15*(1+$H$3)*G54</f>
        <v>978791.0546875001</v>
      </c>
      <c r="I54" s="96">
        <f>H54*$I$3</f>
        <v>5030007.230039063</v>
      </c>
      <c r="J54" s="24">
        <f>I54*1.25</f>
        <v>6287509.037548829</v>
      </c>
    </row>
    <row r="55" spans="1:10" s="17" customFormat="1" ht="12">
      <c r="A55" s="18"/>
      <c r="B55" s="20" t="s">
        <v>38</v>
      </c>
      <c r="C55" s="12" t="s">
        <v>39</v>
      </c>
      <c r="D55" s="14" t="s">
        <v>163</v>
      </c>
      <c r="E55" s="12" t="s">
        <v>31</v>
      </c>
      <c r="F55" s="14">
        <v>10.36875</v>
      </c>
      <c r="G55" s="14">
        <f>F55*1.25</f>
        <v>12.9609375</v>
      </c>
      <c r="H55" s="57">
        <f>D55*1.15*(1+$H$3)*G55</f>
        <v>975418.1226562499</v>
      </c>
      <c r="I55" s="96">
        <f>H55*$I$3</f>
        <v>5012673.7323304685</v>
      </c>
      <c r="J55" s="24">
        <f>I55*1.25</f>
        <v>6265842.165413085</v>
      </c>
    </row>
    <row r="56" spans="1:10" s="17" customFormat="1" ht="12">
      <c r="A56" s="18"/>
      <c r="B56" s="20" t="s">
        <v>40</v>
      </c>
      <c r="C56" s="12" t="s">
        <v>39</v>
      </c>
      <c r="D56" s="14" t="s">
        <v>195</v>
      </c>
      <c r="E56" s="12" t="s">
        <v>31</v>
      </c>
      <c r="F56" s="14">
        <v>10.36875</v>
      </c>
      <c r="G56" s="14">
        <f>F56*1.25</f>
        <v>12.9609375</v>
      </c>
      <c r="H56" s="57" t="e">
        <f>D56*1.15*(1+$H$3)*G56</f>
        <v>#VALUE!</v>
      </c>
      <c r="I56" s="96" t="e">
        <f>H56*$I$3</f>
        <v>#VALUE!</v>
      </c>
      <c r="J56" s="24" t="e">
        <f>I56*1.25</f>
        <v>#VALUE!</v>
      </c>
    </row>
    <row r="57" spans="1:10" s="17" customFormat="1" ht="12">
      <c r="A57" s="18" t="s">
        <v>225</v>
      </c>
      <c r="B57" s="26" t="s">
        <v>90</v>
      </c>
      <c r="C57" s="27"/>
      <c r="D57" s="14"/>
      <c r="E57" s="12"/>
      <c r="F57" s="14"/>
      <c r="G57" s="14"/>
      <c r="H57" s="95"/>
      <c r="I57" s="14"/>
      <c r="J57" s="16"/>
    </row>
    <row r="58" spans="1:10" s="17" customFormat="1" ht="12">
      <c r="A58" s="18"/>
      <c r="B58" s="16" t="s">
        <v>36</v>
      </c>
      <c r="C58" s="12" t="s">
        <v>53</v>
      </c>
      <c r="D58" s="14">
        <v>1.8</v>
      </c>
      <c r="E58" s="12" t="s">
        <v>54</v>
      </c>
      <c r="F58" s="14">
        <v>10.495</v>
      </c>
      <c r="G58" s="14">
        <f>F58*1.25</f>
        <v>13.118749999999999</v>
      </c>
      <c r="H58" s="57">
        <f>D58*1.15*(1+$H$3)*G58</f>
        <v>54.31162499999999</v>
      </c>
      <c r="I58" s="96">
        <f>H58*$I$3</f>
        <v>279.10744087499995</v>
      </c>
      <c r="J58" s="24">
        <f>I58*1.25</f>
        <v>348.88430109374997</v>
      </c>
    </row>
    <row r="59" spans="1:10" s="17" customFormat="1" ht="12">
      <c r="A59" s="18"/>
      <c r="B59" s="20" t="s">
        <v>38</v>
      </c>
      <c r="C59" s="12" t="s">
        <v>39</v>
      </c>
      <c r="D59" s="14">
        <v>2.67</v>
      </c>
      <c r="E59" s="12" t="s">
        <v>49</v>
      </c>
      <c r="F59" s="14">
        <v>11.17125</v>
      </c>
      <c r="G59" s="14">
        <f>F59*1.25</f>
        <v>13.9640625</v>
      </c>
      <c r="H59" s="57">
        <f>D59*1.15*(1+$H$3)*G59</f>
        <v>85.7533078125</v>
      </c>
      <c r="I59" s="96">
        <f>H59*$I$3</f>
        <v>440.6862488484375</v>
      </c>
      <c r="J59" s="24">
        <f>I59*1.25</f>
        <v>550.8578110605469</v>
      </c>
    </row>
    <row r="60" spans="1:10" s="17" customFormat="1" ht="12">
      <c r="A60" s="28"/>
      <c r="B60" s="29" t="s">
        <v>40</v>
      </c>
      <c r="C60" s="30" t="s">
        <v>39</v>
      </c>
      <c r="D60" s="32">
        <v>7.23</v>
      </c>
      <c r="E60" s="30" t="s">
        <v>49</v>
      </c>
      <c r="F60" s="32">
        <v>11.17125</v>
      </c>
      <c r="G60" s="32">
        <f>F60*1.25</f>
        <v>13.9640625</v>
      </c>
      <c r="H60" s="87">
        <f>D60*1.15*(1+$H$3)*G60</f>
        <v>232.20839531250002</v>
      </c>
      <c r="I60" s="97">
        <f>H60*$I$3</f>
        <v>1193.3189435109377</v>
      </c>
      <c r="J60" s="35">
        <f>I60*1.25</f>
        <v>1491.6486793886722</v>
      </c>
    </row>
    <row r="61" spans="1:10" s="17" customFormat="1" ht="12">
      <c r="A61" s="18" t="s">
        <v>226</v>
      </c>
      <c r="B61" s="19" t="s">
        <v>55</v>
      </c>
      <c r="C61" s="12"/>
      <c r="D61" s="14"/>
      <c r="E61" s="12"/>
      <c r="F61" s="14"/>
      <c r="G61" s="14"/>
      <c r="H61" s="95"/>
      <c r="I61" s="14"/>
      <c r="J61" s="16"/>
    </row>
    <row r="62" spans="1:10" s="17" customFormat="1" ht="12">
      <c r="A62" s="18"/>
      <c r="B62" s="19" t="s">
        <v>95</v>
      </c>
      <c r="C62" s="12"/>
      <c r="D62" s="14"/>
      <c r="E62" s="12"/>
      <c r="F62" s="14"/>
      <c r="G62" s="14"/>
      <c r="H62" s="95"/>
      <c r="I62" s="14"/>
      <c r="J62" s="16"/>
    </row>
    <row r="63" spans="1:10" s="17" customFormat="1" ht="12">
      <c r="A63" s="18"/>
      <c r="B63" s="20" t="s">
        <v>56</v>
      </c>
      <c r="C63" s="12"/>
      <c r="D63" s="14"/>
      <c r="E63" s="12"/>
      <c r="F63" s="14"/>
      <c r="G63" s="14"/>
      <c r="H63" s="95"/>
      <c r="I63" s="14"/>
      <c r="J63" s="16"/>
    </row>
    <row r="64" spans="1:10" s="17" customFormat="1" ht="12">
      <c r="A64" s="18" t="s">
        <v>34</v>
      </c>
      <c r="B64" s="16" t="s">
        <v>36</v>
      </c>
      <c r="C64" s="12" t="s">
        <v>47</v>
      </c>
      <c r="D64" s="14">
        <f>22.37*1.2</f>
        <v>26.844</v>
      </c>
      <c r="E64" s="14" t="s">
        <v>48</v>
      </c>
      <c r="F64" s="14">
        <v>10.4625</v>
      </c>
      <c r="G64" s="14">
        <f>F64*1.25</f>
        <v>13.078125</v>
      </c>
      <c r="H64" s="57">
        <f>D64*1.15*(1+$H$3)*G64</f>
        <v>807.45913125</v>
      </c>
      <c r="I64" s="96">
        <f>H64*$I$3</f>
        <v>4149.53247549375</v>
      </c>
      <c r="J64" s="24">
        <f>I64*1.25</f>
        <v>5186.915594367188</v>
      </c>
    </row>
    <row r="65" spans="1:10" s="17" customFormat="1" ht="12">
      <c r="A65" s="18" t="s">
        <v>34</v>
      </c>
      <c r="B65" s="20" t="s">
        <v>38</v>
      </c>
      <c r="C65" s="12" t="s">
        <v>39</v>
      </c>
      <c r="D65" s="14">
        <f>29.83*1.2</f>
        <v>35.796</v>
      </c>
      <c r="E65" s="14" t="s">
        <v>49</v>
      </c>
      <c r="F65" s="14">
        <v>10.975</v>
      </c>
      <c r="G65" s="14">
        <f>F65*1.25</f>
        <v>13.71875</v>
      </c>
      <c r="H65" s="57">
        <f>D65*1.15*(1+$H$3)*G65</f>
        <v>1129.4756625</v>
      </c>
      <c r="I65" s="96">
        <f>H65*$I$3</f>
        <v>5804.375429587501</v>
      </c>
      <c r="J65" s="24">
        <f>I65*1.25</f>
        <v>7255.469286984376</v>
      </c>
    </row>
    <row r="66" spans="1:10" s="17" customFormat="1" ht="12.75" thickBot="1">
      <c r="A66" s="36" t="s">
        <v>34</v>
      </c>
      <c r="B66" s="37" t="s">
        <v>40</v>
      </c>
      <c r="C66" s="38" t="s">
        <v>39</v>
      </c>
      <c r="D66" s="40">
        <f>47.69*1.2</f>
        <v>57.227999999999994</v>
      </c>
      <c r="E66" s="40" t="s">
        <v>49</v>
      </c>
      <c r="F66" s="40">
        <v>10.975</v>
      </c>
      <c r="G66" s="40">
        <f>F66*1.25</f>
        <v>13.71875</v>
      </c>
      <c r="H66" s="86">
        <f>D66*1.15*(1+$H$3)*G66</f>
        <v>1805.7222374999997</v>
      </c>
      <c r="I66" s="98">
        <f>H66*$I$3</f>
        <v>9279.6065785125</v>
      </c>
      <c r="J66" s="43">
        <f>I66*1.25</f>
        <v>11599.508223140623</v>
      </c>
    </row>
    <row r="67" spans="1:10" s="9" customFormat="1" ht="12.75" thickBot="1">
      <c r="A67" s="7" t="s">
        <v>20</v>
      </c>
      <c r="B67" s="8">
        <v>2</v>
      </c>
      <c r="C67" s="8">
        <v>3</v>
      </c>
      <c r="D67" s="8">
        <v>4</v>
      </c>
      <c r="E67" s="8">
        <v>5</v>
      </c>
      <c r="F67" s="8">
        <v>6</v>
      </c>
      <c r="G67" s="8">
        <v>6</v>
      </c>
      <c r="H67" s="8">
        <v>7</v>
      </c>
      <c r="I67" s="8">
        <v>4</v>
      </c>
      <c r="J67" s="7" t="s">
        <v>84</v>
      </c>
    </row>
    <row r="68" spans="1:10" s="17" customFormat="1" ht="12">
      <c r="A68" s="18" t="s">
        <v>227</v>
      </c>
      <c r="B68" s="19" t="s">
        <v>94</v>
      </c>
      <c r="C68" s="12"/>
      <c r="D68" s="118"/>
      <c r="E68" s="121"/>
      <c r="F68" s="14"/>
      <c r="G68" s="14"/>
      <c r="H68" s="14"/>
      <c r="I68" s="15"/>
      <c r="J68" s="16"/>
    </row>
    <row r="69" spans="1:10" s="17" customFormat="1" ht="12">
      <c r="A69" s="18"/>
      <c r="B69" s="16" t="s">
        <v>36</v>
      </c>
      <c r="C69" s="12" t="s">
        <v>57</v>
      </c>
      <c r="D69" s="124" t="s">
        <v>160</v>
      </c>
      <c r="E69" s="120">
        <v>3</v>
      </c>
      <c r="F69" s="14">
        <v>9.355</v>
      </c>
      <c r="G69" s="14">
        <f>F69*1.25</f>
        <v>11.693750000000001</v>
      </c>
      <c r="H69" s="22">
        <f>D69*1.15*(1+$H$3)*G69</f>
        <v>501872.36250000005</v>
      </c>
      <c r="I69" s="23">
        <f>H69*$I$3</f>
        <v>2579122.0708875004</v>
      </c>
      <c r="J69" s="24">
        <f>I69*1.25</f>
        <v>3223902.5886093755</v>
      </c>
    </row>
    <row r="70" spans="1:10" s="17" customFormat="1" ht="12">
      <c r="A70" s="18"/>
      <c r="B70" s="20" t="s">
        <v>38</v>
      </c>
      <c r="C70" s="12" t="s">
        <v>39</v>
      </c>
      <c r="D70" s="14" t="s">
        <v>194</v>
      </c>
      <c r="E70" s="120">
        <v>4</v>
      </c>
      <c r="F70" s="14">
        <v>10.36875</v>
      </c>
      <c r="G70" s="14">
        <f>F70*1.25</f>
        <v>12.9609375</v>
      </c>
      <c r="H70" s="22">
        <f>D70*1.15*(1+$H$3)*G70</f>
        <v>1276649.7515625</v>
      </c>
      <c r="I70" s="23">
        <f>H70*$I$3</f>
        <v>6560703.073279687</v>
      </c>
      <c r="J70" s="24">
        <f>I70*1.25</f>
        <v>8200878.841599609</v>
      </c>
    </row>
    <row r="71" spans="1:10" s="17" customFormat="1" ht="12">
      <c r="A71" s="18"/>
      <c r="B71" s="20" t="s">
        <v>40</v>
      </c>
      <c r="C71" s="12" t="s">
        <v>39</v>
      </c>
      <c r="D71" s="14" t="s">
        <v>193</v>
      </c>
      <c r="E71" s="120">
        <v>4</v>
      </c>
      <c r="F71" s="14">
        <v>10.36875</v>
      </c>
      <c r="G71" s="14">
        <f>F71*1.25</f>
        <v>12.9609375</v>
      </c>
      <c r="H71" s="22">
        <f>D71*1.15*(1+$H$3)*G71</f>
        <v>961794.88125</v>
      </c>
      <c r="I71" s="23">
        <f>H71*$I$3</f>
        <v>4942663.89474375</v>
      </c>
      <c r="J71" s="24">
        <f>I71*1.25</f>
        <v>6178329.868429687</v>
      </c>
    </row>
    <row r="72" spans="1:10" s="17" customFormat="1" ht="12">
      <c r="A72" s="18" t="s">
        <v>228</v>
      </c>
      <c r="B72" s="19" t="s">
        <v>89</v>
      </c>
      <c r="C72" s="12"/>
      <c r="D72" s="14"/>
      <c r="E72" s="121"/>
      <c r="F72" s="14"/>
      <c r="G72" s="14"/>
      <c r="H72" s="14"/>
      <c r="I72" s="15"/>
      <c r="J72" s="16"/>
    </row>
    <row r="73" spans="1:10" s="17" customFormat="1" ht="12">
      <c r="A73" s="18"/>
      <c r="B73" s="16" t="s">
        <v>36</v>
      </c>
      <c r="C73" s="12" t="s">
        <v>51</v>
      </c>
      <c r="D73" s="14" t="s">
        <v>192</v>
      </c>
      <c r="E73" s="13" t="s">
        <v>52</v>
      </c>
      <c r="F73" s="14">
        <v>9.6925</v>
      </c>
      <c r="G73" s="14">
        <f>F73*1.25</f>
        <v>12.115625000000001</v>
      </c>
      <c r="H73" s="22">
        <f>D73*1.15*(1+$H$3)*G73</f>
        <v>1177280.1275000002</v>
      </c>
      <c r="I73" s="23">
        <f>H73*$I$3</f>
        <v>6050042.5752225015</v>
      </c>
      <c r="J73" s="24">
        <f>I73*1.25</f>
        <v>7562553.219028126</v>
      </c>
    </row>
    <row r="74" spans="1:10" s="17" customFormat="1" ht="12">
      <c r="A74" s="18"/>
      <c r="B74" s="20" t="s">
        <v>38</v>
      </c>
      <c r="C74" s="12" t="s">
        <v>39</v>
      </c>
      <c r="D74" s="14" t="s">
        <v>191</v>
      </c>
      <c r="E74" s="13" t="s">
        <v>31</v>
      </c>
      <c r="F74" s="14">
        <v>10.36875</v>
      </c>
      <c r="G74" s="14">
        <f>F74*1.25</f>
        <v>12.9609375</v>
      </c>
      <c r="H74" s="22" t="e">
        <f>D74*1.15*(1+$H$3)*G74</f>
        <v>#VALUE!</v>
      </c>
      <c r="I74" s="23" t="e">
        <f>H74*$I$3</f>
        <v>#VALUE!</v>
      </c>
      <c r="J74" s="24" t="e">
        <f>I74*1.25</f>
        <v>#VALUE!</v>
      </c>
    </row>
    <row r="75" spans="1:10" s="17" customFormat="1" ht="12">
      <c r="A75" s="18"/>
      <c r="B75" s="20" t="s">
        <v>40</v>
      </c>
      <c r="C75" s="12" t="s">
        <v>39</v>
      </c>
      <c r="D75" s="14" t="s">
        <v>190</v>
      </c>
      <c r="E75" s="13" t="s">
        <v>31</v>
      </c>
      <c r="F75" s="14">
        <v>10.36875</v>
      </c>
      <c r="G75" s="14">
        <f>F75*1.25</f>
        <v>12.9609375</v>
      </c>
      <c r="H75" s="22" t="e">
        <f>D75*1.15*(1+$H$3)*G75</f>
        <v>#VALUE!</v>
      </c>
      <c r="I75" s="23" t="e">
        <f>H75*$I$3</f>
        <v>#VALUE!</v>
      </c>
      <c r="J75" s="24" t="e">
        <f>I75*1.25</f>
        <v>#VALUE!</v>
      </c>
    </row>
    <row r="76" spans="1:10" s="17" customFormat="1" ht="12">
      <c r="A76" s="18" t="s">
        <v>229</v>
      </c>
      <c r="B76" s="26" t="s">
        <v>90</v>
      </c>
      <c r="C76" s="27"/>
      <c r="D76" s="14"/>
      <c r="E76" s="13"/>
      <c r="F76" s="14"/>
      <c r="G76" s="14"/>
      <c r="H76" s="14"/>
      <c r="I76" s="15"/>
      <c r="J76" s="16"/>
    </row>
    <row r="77" spans="1:10" s="17" customFormat="1" ht="12">
      <c r="A77" s="18"/>
      <c r="B77" s="16" t="s">
        <v>36</v>
      </c>
      <c r="C77" s="12" t="s">
        <v>53</v>
      </c>
      <c r="D77" s="14">
        <v>1.8</v>
      </c>
      <c r="E77" s="13" t="s">
        <v>54</v>
      </c>
      <c r="F77" s="14">
        <v>10.495</v>
      </c>
      <c r="G77" s="14">
        <f>F77*1.25</f>
        <v>13.118749999999999</v>
      </c>
      <c r="H77" s="22">
        <f>D77*1.15*(1+$H$3)*G77</f>
        <v>54.31162499999999</v>
      </c>
      <c r="I77" s="23">
        <f>H77*$I$3</f>
        <v>279.10744087499995</v>
      </c>
      <c r="J77" s="24">
        <f>I77*1.25</f>
        <v>348.88430109374997</v>
      </c>
    </row>
    <row r="78" spans="1:10" s="17" customFormat="1" ht="12">
      <c r="A78" s="18"/>
      <c r="B78" s="20" t="s">
        <v>38</v>
      </c>
      <c r="C78" s="12" t="s">
        <v>39</v>
      </c>
      <c r="D78" s="14">
        <v>2.67</v>
      </c>
      <c r="E78" s="13" t="s">
        <v>49</v>
      </c>
      <c r="F78" s="14">
        <v>11.17125</v>
      </c>
      <c r="G78" s="14">
        <f>F78*1.25</f>
        <v>13.9640625</v>
      </c>
      <c r="H78" s="22">
        <f>D78*1.15*(1+$H$3)*G78</f>
        <v>85.7533078125</v>
      </c>
      <c r="I78" s="23">
        <f>H78*$I$3</f>
        <v>440.6862488484375</v>
      </c>
      <c r="J78" s="24">
        <f>I78*1.25</f>
        <v>550.8578110605469</v>
      </c>
    </row>
    <row r="79" spans="1:10" s="17" customFormat="1" ht="12">
      <c r="A79" s="28"/>
      <c r="B79" s="29" t="s">
        <v>40</v>
      </c>
      <c r="C79" s="30" t="s">
        <v>39</v>
      </c>
      <c r="D79" s="32">
        <v>7.23</v>
      </c>
      <c r="E79" s="31" t="s">
        <v>49</v>
      </c>
      <c r="F79" s="32">
        <v>11.17125</v>
      </c>
      <c r="G79" s="32">
        <f>F79*1.25</f>
        <v>13.9640625</v>
      </c>
      <c r="H79" s="33">
        <f>D79*1.15*(1+$H$3)*G79</f>
        <v>232.20839531250002</v>
      </c>
      <c r="I79" s="34">
        <f>H79*$I$3</f>
        <v>1193.3189435109377</v>
      </c>
      <c r="J79" s="35">
        <f>I79*1.25</f>
        <v>1491.6486793886722</v>
      </c>
    </row>
    <row r="80" spans="1:10" s="17" customFormat="1" ht="12">
      <c r="A80" s="18" t="s">
        <v>230</v>
      </c>
      <c r="B80" s="26" t="s">
        <v>128</v>
      </c>
      <c r="C80" s="27"/>
      <c r="D80" s="14"/>
      <c r="E80" s="13"/>
      <c r="F80" s="14"/>
      <c r="G80" s="14"/>
      <c r="H80" s="14"/>
      <c r="I80" s="15"/>
      <c r="J80" s="16"/>
    </row>
    <row r="81" spans="1:10" s="17" customFormat="1" ht="12">
      <c r="A81" s="18"/>
      <c r="B81" s="16" t="s">
        <v>125</v>
      </c>
      <c r="C81" s="12" t="s">
        <v>127</v>
      </c>
      <c r="D81" s="14">
        <f>1.3*1.2</f>
        <v>1.56</v>
      </c>
      <c r="E81" s="13" t="s">
        <v>49</v>
      </c>
      <c r="F81" s="14">
        <v>11.668800000000001</v>
      </c>
      <c r="G81" s="14">
        <f>F81*1.25</f>
        <v>14.586000000000002</v>
      </c>
      <c r="H81" s="22">
        <f>D81*1.15*(1+$H$3)*G81</f>
        <v>52.334568000000004</v>
      </c>
      <c r="I81" s="57">
        <f>H81*$I$3</f>
        <v>268.94734495200004</v>
      </c>
      <c r="J81" s="24">
        <f>I81*1.25</f>
        <v>336.18418119000006</v>
      </c>
    </row>
    <row r="82" spans="1:10" s="17" customFormat="1" ht="12">
      <c r="A82" s="28"/>
      <c r="B82" s="29" t="s">
        <v>126</v>
      </c>
      <c r="C82" s="30" t="s">
        <v>39</v>
      </c>
      <c r="D82" s="32">
        <f>1.95*1.2</f>
        <v>2.34</v>
      </c>
      <c r="E82" s="31" t="s">
        <v>49</v>
      </c>
      <c r="F82" s="32">
        <v>11.668800000000001</v>
      </c>
      <c r="G82" s="32">
        <f>F82*1.25</f>
        <v>14.586000000000002</v>
      </c>
      <c r="H82" s="33">
        <f>D82*1.15*(1+$H$3)*G82</f>
        <v>78.501852</v>
      </c>
      <c r="I82" s="87">
        <f>H82*$I$3</f>
        <v>403.421017428</v>
      </c>
      <c r="J82" s="35">
        <f>I82*1.25</f>
        <v>504.27627178500006</v>
      </c>
    </row>
    <row r="83" spans="1:10" ht="12">
      <c r="A83" s="44" t="s">
        <v>231</v>
      </c>
      <c r="B83" s="45" t="s">
        <v>58</v>
      </c>
      <c r="C83" s="46"/>
      <c r="D83" s="122"/>
      <c r="E83" s="47"/>
      <c r="F83" s="48"/>
      <c r="G83" s="48"/>
      <c r="H83" s="22"/>
      <c r="I83" s="23"/>
      <c r="J83" s="49"/>
    </row>
    <row r="84" spans="1:10" ht="12">
      <c r="A84" s="44"/>
      <c r="B84" s="50" t="s">
        <v>59</v>
      </c>
      <c r="C84" s="46" t="s">
        <v>5</v>
      </c>
      <c r="D84" s="122">
        <v>5.3</v>
      </c>
      <c r="E84" s="47" t="s">
        <v>19</v>
      </c>
      <c r="F84" s="48">
        <v>11.06625</v>
      </c>
      <c r="G84" s="48">
        <f>F84*1.25</f>
        <v>13.8328125</v>
      </c>
      <c r="H84" s="22">
        <f>D84*1.15*(1+$H$3)*G84</f>
        <v>168.62198437499998</v>
      </c>
      <c r="I84" s="23">
        <f>H84*$I$3</f>
        <v>866.548377703125</v>
      </c>
      <c r="J84" s="24">
        <f>I84*1.25</f>
        <v>1083.1854721289062</v>
      </c>
    </row>
    <row r="85" spans="1:10" ht="12">
      <c r="A85" s="44"/>
      <c r="B85" s="20" t="s">
        <v>60</v>
      </c>
      <c r="C85" s="46" t="s">
        <v>5</v>
      </c>
      <c r="D85" s="122">
        <v>8.5</v>
      </c>
      <c r="E85" s="47" t="s">
        <v>18</v>
      </c>
      <c r="F85" s="48">
        <v>11.5725</v>
      </c>
      <c r="G85" s="48">
        <f>F85*1.25</f>
        <v>14.465625</v>
      </c>
      <c r="H85" s="22">
        <f>D85*1.15*(1+$H$3)*G85</f>
        <v>282.80296874999993</v>
      </c>
      <c r="I85" s="23">
        <f>H85*$I$3</f>
        <v>1453.3244564062497</v>
      </c>
      <c r="J85" s="24">
        <f>I85*1.25</f>
        <v>1816.6555705078122</v>
      </c>
    </row>
    <row r="86" spans="1:10" ht="12">
      <c r="A86" s="51"/>
      <c r="B86" s="52" t="s">
        <v>61</v>
      </c>
      <c r="C86" s="53"/>
      <c r="D86" s="123"/>
      <c r="E86" s="54"/>
      <c r="F86" s="55"/>
      <c r="G86" s="55"/>
      <c r="H86" s="33"/>
      <c r="I86" s="34"/>
      <c r="J86" s="35"/>
    </row>
    <row r="87" spans="1:10" s="17" customFormat="1" ht="12" customHeight="1">
      <c r="A87" s="18"/>
      <c r="B87" s="20"/>
      <c r="C87" s="12"/>
      <c r="D87" s="14"/>
      <c r="E87" s="121"/>
      <c r="F87" s="14"/>
      <c r="G87" s="14"/>
      <c r="H87" s="14"/>
      <c r="I87" s="15"/>
      <c r="J87" s="16"/>
    </row>
    <row r="88" spans="1:10" s="17" customFormat="1" ht="12">
      <c r="A88" s="18" t="s">
        <v>232</v>
      </c>
      <c r="B88" s="19" t="s">
        <v>96</v>
      </c>
      <c r="C88" s="12"/>
      <c r="D88" s="14"/>
      <c r="E88" s="13"/>
      <c r="F88" s="14"/>
      <c r="G88" s="14"/>
      <c r="H88" s="14"/>
      <c r="I88" s="15"/>
      <c r="J88" s="16"/>
    </row>
    <row r="89" spans="1:10" s="17" customFormat="1" ht="12">
      <c r="A89" s="18"/>
      <c r="B89" s="20" t="s">
        <v>85</v>
      </c>
      <c r="C89" s="12"/>
      <c r="D89" s="14"/>
      <c r="E89" s="13"/>
      <c r="F89" s="14"/>
      <c r="G89" s="14"/>
      <c r="H89" s="14"/>
      <c r="I89" s="15"/>
      <c r="J89" s="16"/>
    </row>
    <row r="90" spans="1:10" s="17" customFormat="1" ht="12">
      <c r="A90" s="18"/>
      <c r="B90" s="16" t="s">
        <v>36</v>
      </c>
      <c r="C90" s="12" t="s">
        <v>86</v>
      </c>
      <c r="D90" s="14">
        <f>3.72*1.2</f>
        <v>4.464</v>
      </c>
      <c r="E90" s="13" t="s">
        <v>52</v>
      </c>
      <c r="F90" s="14">
        <v>9.6925</v>
      </c>
      <c r="G90" s="14">
        <f>F90*1.25</f>
        <v>12.115625000000001</v>
      </c>
      <c r="H90" s="22">
        <f>D90*1.15*(1+$H$3)*G90</f>
        <v>124.39354500000002</v>
      </c>
      <c r="I90" s="23">
        <f>H90*$I$3</f>
        <v>639.2584277550001</v>
      </c>
      <c r="J90" s="24">
        <f>I90*1.25</f>
        <v>799.0730346937501</v>
      </c>
    </row>
    <row r="91" spans="1:10" s="17" customFormat="1" ht="12">
      <c r="A91" s="18"/>
      <c r="B91" s="20" t="s">
        <v>38</v>
      </c>
      <c r="C91" s="12" t="s">
        <v>39</v>
      </c>
      <c r="D91" s="14">
        <f>5.29*1.2</f>
        <v>6.348</v>
      </c>
      <c r="E91" s="13" t="s">
        <v>31</v>
      </c>
      <c r="F91" s="14">
        <v>10.36875</v>
      </c>
      <c r="G91" s="14">
        <f>F91*1.25</f>
        <v>12.9609375</v>
      </c>
      <c r="H91" s="22">
        <f>D91*1.15*(1+$H$3)*G91</f>
        <v>189.23487187499998</v>
      </c>
      <c r="I91" s="23">
        <f>H91*$I$3</f>
        <v>972.4780065656249</v>
      </c>
      <c r="J91" s="24">
        <f>I91*1.25</f>
        <v>1215.597508207031</v>
      </c>
    </row>
    <row r="92" spans="1:10" s="17" customFormat="1" ht="12">
      <c r="A92" s="18"/>
      <c r="B92" s="20" t="s">
        <v>40</v>
      </c>
      <c r="C92" s="12" t="s">
        <v>39</v>
      </c>
      <c r="D92" s="14">
        <f>7.4*1.2</f>
        <v>8.88</v>
      </c>
      <c r="E92" s="13" t="s">
        <v>31</v>
      </c>
      <c r="F92" s="14">
        <v>10.36875</v>
      </c>
      <c r="G92" s="14">
        <f>F92*1.25</f>
        <v>12.9609375</v>
      </c>
      <c r="H92" s="22">
        <f>D92*1.15*(1+$H$3)*G92</f>
        <v>264.7141875</v>
      </c>
      <c r="I92" s="23">
        <f>H92*$I$3</f>
        <v>1360.3662095625</v>
      </c>
      <c r="J92" s="24">
        <f>I92*1.25</f>
        <v>1700.457761953125</v>
      </c>
    </row>
    <row r="93" spans="1:10" s="17" customFormat="1" ht="12">
      <c r="A93" s="18" t="s">
        <v>233</v>
      </c>
      <c r="B93" s="19" t="s">
        <v>97</v>
      </c>
      <c r="C93" s="12"/>
      <c r="D93" s="14"/>
      <c r="E93" s="13"/>
      <c r="F93" s="14"/>
      <c r="G93" s="14"/>
      <c r="H93" s="14"/>
      <c r="I93" s="15"/>
      <c r="J93" s="16"/>
    </row>
    <row r="94" spans="1:10" s="17" customFormat="1" ht="12">
      <c r="A94" s="18"/>
      <c r="B94" s="16" t="s">
        <v>36</v>
      </c>
      <c r="C94" s="12" t="s">
        <v>86</v>
      </c>
      <c r="D94" s="14" t="s">
        <v>184</v>
      </c>
      <c r="E94" s="13" t="s">
        <v>52</v>
      </c>
      <c r="F94" s="14">
        <v>9.6925</v>
      </c>
      <c r="G94" s="14">
        <f>F94*1.25</f>
        <v>12.115625000000001</v>
      </c>
      <c r="H94" s="22">
        <f>D94*1.15*(1+$H$3)*G94</f>
        <v>428383.0571875</v>
      </c>
      <c r="I94" s="23">
        <f>H94*$I$3</f>
        <v>2201460.5308865625</v>
      </c>
      <c r="J94" s="24">
        <f>I94*1.25</f>
        <v>2751825.663608203</v>
      </c>
    </row>
    <row r="95" spans="1:10" s="17" customFormat="1" ht="12">
      <c r="A95" s="18"/>
      <c r="B95" s="20" t="s">
        <v>38</v>
      </c>
      <c r="C95" s="12" t="s">
        <v>39</v>
      </c>
      <c r="D95" s="14" t="s">
        <v>185</v>
      </c>
      <c r="E95" s="13" t="s">
        <v>31</v>
      </c>
      <c r="F95" s="14">
        <v>10.36875</v>
      </c>
      <c r="G95" s="14">
        <f>F95*1.25</f>
        <v>12.9609375</v>
      </c>
      <c r="H95" s="22">
        <f>D95*1.15*(1+$H$3)*G95</f>
        <v>774855.39140625</v>
      </c>
      <c r="I95" s="23">
        <f>H95*$I$3</f>
        <v>3981981.8564367187</v>
      </c>
      <c r="J95" s="24">
        <f>I95*1.25</f>
        <v>4977477.320545899</v>
      </c>
    </row>
    <row r="96" spans="1:10" s="17" customFormat="1" ht="12">
      <c r="A96" s="18"/>
      <c r="B96" s="20" t="s">
        <v>40</v>
      </c>
      <c r="C96" s="12" t="s">
        <v>39</v>
      </c>
      <c r="D96" s="14" t="s">
        <v>186</v>
      </c>
      <c r="E96" s="13" t="s">
        <v>31</v>
      </c>
      <c r="F96" s="14">
        <v>10.36875</v>
      </c>
      <c r="G96" s="14">
        <f>F96*1.25</f>
        <v>12.9609375</v>
      </c>
      <c r="H96" s="22">
        <f>D96*1.15*(1+$H$3)*G96</f>
        <v>1320321.63046875</v>
      </c>
      <c r="I96" s="23">
        <f>H96*$I$3</f>
        <v>6785132.858978906</v>
      </c>
      <c r="J96" s="24">
        <f>I96*1.25</f>
        <v>8481416.073723633</v>
      </c>
    </row>
    <row r="97" spans="1:10" s="17" customFormat="1" ht="12">
      <c r="A97" s="18" t="s">
        <v>234</v>
      </c>
      <c r="B97" s="19" t="s">
        <v>98</v>
      </c>
      <c r="C97" s="12"/>
      <c r="D97" s="14"/>
      <c r="E97" s="13"/>
      <c r="F97" s="14"/>
      <c r="G97" s="14"/>
      <c r="H97" s="14"/>
      <c r="I97" s="15"/>
      <c r="J97" s="16"/>
    </row>
    <row r="98" spans="1:10" s="17" customFormat="1" ht="12">
      <c r="A98" s="18"/>
      <c r="B98" s="16" t="s">
        <v>36</v>
      </c>
      <c r="C98" s="12" t="s">
        <v>86</v>
      </c>
      <c r="D98" s="14" t="s">
        <v>187</v>
      </c>
      <c r="E98" s="13" t="s">
        <v>52</v>
      </c>
      <c r="F98" s="14">
        <v>9.6925</v>
      </c>
      <c r="G98" s="14">
        <f>F98*1.25</f>
        <v>12.115625000000001</v>
      </c>
      <c r="H98" s="22">
        <f>D98*1.15*(1+$H$3)*G98</f>
        <v>1233234.93</v>
      </c>
      <c r="I98" s="23">
        <f>H98*$I$3</f>
        <v>6337594.30527</v>
      </c>
      <c r="J98" s="24">
        <f>I98*1.25</f>
        <v>7921992.881587501</v>
      </c>
    </row>
    <row r="99" spans="1:10" s="17" customFormat="1" ht="12">
      <c r="A99" s="18"/>
      <c r="B99" s="20" t="s">
        <v>38</v>
      </c>
      <c r="C99" s="12" t="s">
        <v>39</v>
      </c>
      <c r="D99" s="14" t="s">
        <v>188</v>
      </c>
      <c r="E99" s="13" t="s">
        <v>31</v>
      </c>
      <c r="F99" s="14">
        <v>10.36875</v>
      </c>
      <c r="G99" s="14">
        <f>F99*1.25</f>
        <v>12.9609375</v>
      </c>
      <c r="H99" s="22">
        <f>D99*1.15*(1+$H$3)*G99</f>
        <v>631557.9703124999</v>
      </c>
      <c r="I99" s="23">
        <f>H99*$I$3</f>
        <v>3245576.409435937</v>
      </c>
      <c r="J99" s="24">
        <f>I99*1.25</f>
        <v>4056970.5117949215</v>
      </c>
    </row>
    <row r="100" spans="1:10" s="17" customFormat="1" ht="12">
      <c r="A100" s="28"/>
      <c r="B100" s="29" t="s">
        <v>40</v>
      </c>
      <c r="C100" s="30" t="s">
        <v>39</v>
      </c>
      <c r="D100" s="32" t="s">
        <v>189</v>
      </c>
      <c r="E100" s="31" t="s">
        <v>31</v>
      </c>
      <c r="F100" s="32">
        <v>10.36875</v>
      </c>
      <c r="G100" s="32">
        <f>F100*1.25</f>
        <v>12.9609375</v>
      </c>
      <c r="H100" s="33">
        <f>D100*1.15*(1+$H$3)*G100</f>
        <v>392927.66953124997</v>
      </c>
      <c r="I100" s="34">
        <f>H100*$I$3</f>
        <v>2019255.2937210936</v>
      </c>
      <c r="J100" s="35">
        <f>I100*1.25</f>
        <v>2524069.117151367</v>
      </c>
    </row>
    <row r="101" spans="1:10" s="17" customFormat="1" ht="12">
      <c r="A101" s="18" t="s">
        <v>235</v>
      </c>
      <c r="B101" s="19" t="s">
        <v>130</v>
      </c>
      <c r="C101" s="12"/>
      <c r="D101" s="14"/>
      <c r="E101" s="13"/>
      <c r="F101" s="14"/>
      <c r="G101" s="14"/>
      <c r="H101" s="14"/>
      <c r="I101" s="15"/>
      <c r="J101" s="16"/>
    </row>
    <row r="102" spans="1:10" s="17" customFormat="1" ht="12">
      <c r="A102" s="18"/>
      <c r="B102" s="20" t="s">
        <v>133</v>
      </c>
      <c r="C102" s="12"/>
      <c r="D102" s="14"/>
      <c r="E102" s="13"/>
      <c r="F102" s="14"/>
      <c r="G102" s="14"/>
      <c r="H102" s="14"/>
      <c r="I102" s="15"/>
      <c r="J102" s="16"/>
    </row>
    <row r="103" spans="1:10" s="17" customFormat="1" ht="12">
      <c r="A103" s="18"/>
      <c r="B103" s="16" t="s">
        <v>36</v>
      </c>
      <c r="C103" s="12" t="s">
        <v>86</v>
      </c>
      <c r="D103" s="14">
        <f>2.62*1.2</f>
        <v>3.144</v>
      </c>
      <c r="E103" s="13" t="s">
        <v>52</v>
      </c>
      <c r="F103" s="14">
        <v>9.6925</v>
      </c>
      <c r="G103" s="14">
        <f>F103*1.25</f>
        <v>12.115625000000001</v>
      </c>
      <c r="H103" s="22">
        <f>D103*1.15*(1+$H$3)*G103</f>
        <v>87.6105075</v>
      </c>
      <c r="I103" s="23">
        <f>H103*$I$3</f>
        <v>450.2303980425</v>
      </c>
      <c r="J103" s="24">
        <f>I103*1.25</f>
        <v>562.787997553125</v>
      </c>
    </row>
    <row r="104" spans="1:10" s="17" customFormat="1" ht="12">
      <c r="A104" s="18"/>
      <c r="B104" s="20" t="s">
        <v>38</v>
      </c>
      <c r="C104" s="12" t="s">
        <v>39</v>
      </c>
      <c r="D104" s="14">
        <f>3.82*1.2</f>
        <v>4.584</v>
      </c>
      <c r="E104" s="13" t="s">
        <v>31</v>
      </c>
      <c r="F104" s="14">
        <v>10.36875</v>
      </c>
      <c r="G104" s="14">
        <f>F104*1.25</f>
        <v>12.9609375</v>
      </c>
      <c r="H104" s="22">
        <f>D104*1.15*(1+$H$3)*G104</f>
        <v>136.64975625</v>
      </c>
      <c r="I104" s="23">
        <f>H104*$I$3</f>
        <v>702.24309736875</v>
      </c>
      <c r="J104" s="24">
        <f>I104*1.25</f>
        <v>877.8038717109375</v>
      </c>
    </row>
    <row r="105" spans="1:10" s="17" customFormat="1" ht="12">
      <c r="A105" s="18"/>
      <c r="B105" s="20" t="s">
        <v>40</v>
      </c>
      <c r="C105" s="12" t="s">
        <v>39</v>
      </c>
      <c r="D105" s="14">
        <f>5.55*1.2</f>
        <v>6.659999999999999</v>
      </c>
      <c r="E105" s="13" t="s">
        <v>31</v>
      </c>
      <c r="F105" s="14">
        <v>10.36875</v>
      </c>
      <c r="G105" s="14">
        <f>F105*1.25</f>
        <v>12.9609375</v>
      </c>
      <c r="H105" s="22">
        <f>D105*1.15*(1+$H$3)*G105</f>
        <v>198.53564062499998</v>
      </c>
      <c r="I105" s="23">
        <f>H105*$I$3</f>
        <v>1020.274657171875</v>
      </c>
      <c r="J105" s="24">
        <f>I105*1.25</f>
        <v>1275.3433214648437</v>
      </c>
    </row>
    <row r="106" spans="1:10" s="17" customFormat="1" ht="12">
      <c r="A106" s="18" t="s">
        <v>236</v>
      </c>
      <c r="B106" s="19" t="s">
        <v>140</v>
      </c>
      <c r="C106" s="12"/>
      <c r="D106" s="14"/>
      <c r="E106" s="13"/>
      <c r="F106" s="14"/>
      <c r="G106" s="14"/>
      <c r="H106" s="14"/>
      <c r="I106" s="15"/>
      <c r="J106" s="16"/>
    </row>
    <row r="107" spans="1:10" s="17" customFormat="1" ht="12">
      <c r="A107" s="18"/>
      <c r="B107" s="16" t="s">
        <v>36</v>
      </c>
      <c r="C107" s="12" t="s">
        <v>86</v>
      </c>
      <c r="D107" s="14" t="s">
        <v>181</v>
      </c>
      <c r="E107" s="13" t="s">
        <v>52</v>
      </c>
      <c r="F107" s="14">
        <v>9.6925</v>
      </c>
      <c r="G107" s="14">
        <f>F107*1.25</f>
        <v>12.115625000000001</v>
      </c>
      <c r="H107" s="22">
        <f>D107*1.15*(1+$H$3)*G107</f>
        <v>325724.9434375</v>
      </c>
      <c r="I107" s="23">
        <f>H107*$I$3</f>
        <v>1673900.4843253125</v>
      </c>
      <c r="J107" s="24">
        <f>I107*1.25</f>
        <v>2092375.6054066406</v>
      </c>
    </row>
    <row r="108" spans="1:10" s="17" customFormat="1" ht="12">
      <c r="A108" s="18"/>
      <c r="B108" s="20" t="s">
        <v>38</v>
      </c>
      <c r="C108" s="12" t="s">
        <v>39</v>
      </c>
      <c r="D108" s="14" t="s">
        <v>182</v>
      </c>
      <c r="E108" s="13" t="s">
        <v>31</v>
      </c>
      <c r="F108" s="14">
        <v>10.36875</v>
      </c>
      <c r="G108" s="14">
        <f>F108*1.25</f>
        <v>12.9609375</v>
      </c>
      <c r="H108" s="22">
        <f>D108*1.15*(1+$H$3)*G108</f>
        <v>1351085.71171875</v>
      </c>
      <c r="I108" s="23">
        <f>H108*$I$3</f>
        <v>6943229.472522656</v>
      </c>
      <c r="J108" s="24">
        <f>I108*1.25</f>
        <v>8679036.84065332</v>
      </c>
    </row>
    <row r="109" spans="1:10" s="17" customFormat="1" ht="12">
      <c r="A109" s="18"/>
      <c r="B109" s="20" t="s">
        <v>40</v>
      </c>
      <c r="C109" s="12" t="s">
        <v>39</v>
      </c>
      <c r="D109" s="14" t="s">
        <v>183</v>
      </c>
      <c r="E109" s="13" t="s">
        <v>31</v>
      </c>
      <c r="F109" s="14">
        <v>10.36875</v>
      </c>
      <c r="G109" s="14">
        <f>F109*1.25</f>
        <v>12.9609375</v>
      </c>
      <c r="H109" s="22">
        <f>D109*1.15*(1+$H$3)*G109</f>
        <v>1297487.0507812498</v>
      </c>
      <c r="I109" s="23">
        <f>H109*$I$3</f>
        <v>6667785.9539648425</v>
      </c>
      <c r="J109" s="24">
        <f>I109*1.25</f>
        <v>8334732.442456054</v>
      </c>
    </row>
    <row r="110" spans="1:10" s="17" customFormat="1" ht="12">
      <c r="A110" s="18" t="s">
        <v>237</v>
      </c>
      <c r="B110" s="19" t="s">
        <v>98</v>
      </c>
      <c r="C110" s="12"/>
      <c r="D110" s="14"/>
      <c r="E110" s="13"/>
      <c r="F110" s="14"/>
      <c r="G110" s="14"/>
      <c r="H110" s="14"/>
      <c r="I110" s="15"/>
      <c r="J110" s="16"/>
    </row>
    <row r="111" spans="1:10" s="17" customFormat="1" ht="12">
      <c r="A111" s="18"/>
      <c r="B111" s="16" t="s">
        <v>36</v>
      </c>
      <c r="C111" s="12" t="s">
        <v>86</v>
      </c>
      <c r="D111" s="14" t="s">
        <v>187</v>
      </c>
      <c r="E111" s="13" t="s">
        <v>52</v>
      </c>
      <c r="F111" s="14">
        <v>9.6925</v>
      </c>
      <c r="G111" s="14">
        <f>F111*1.25</f>
        <v>12.115625000000001</v>
      </c>
      <c r="H111" s="22">
        <f>D111*1.15*(1+$H$3)*G111</f>
        <v>1233234.93</v>
      </c>
      <c r="I111" s="23">
        <f>H111*$I$3</f>
        <v>6337594.30527</v>
      </c>
      <c r="J111" s="24">
        <f>I111*1.25</f>
        <v>7921992.881587501</v>
      </c>
    </row>
    <row r="112" spans="1:10" s="17" customFormat="1" ht="12">
      <c r="A112" s="18"/>
      <c r="B112" s="20" t="s">
        <v>38</v>
      </c>
      <c r="C112" s="12" t="s">
        <v>39</v>
      </c>
      <c r="D112" s="14" t="s">
        <v>188</v>
      </c>
      <c r="E112" s="13" t="s">
        <v>31</v>
      </c>
      <c r="F112" s="14">
        <v>10.36875</v>
      </c>
      <c r="G112" s="14">
        <f>F112*1.25</f>
        <v>12.9609375</v>
      </c>
      <c r="H112" s="22">
        <f>D112*1.15*(1+$H$3)*G112</f>
        <v>631557.9703124999</v>
      </c>
      <c r="I112" s="23">
        <f>H112*$I$3</f>
        <v>3245576.409435937</v>
      </c>
      <c r="J112" s="24">
        <f>I112*1.25</f>
        <v>4056970.5117949215</v>
      </c>
    </row>
    <row r="113" spans="1:10" s="17" customFormat="1" ht="12">
      <c r="A113" s="28"/>
      <c r="B113" s="29" t="s">
        <v>40</v>
      </c>
      <c r="C113" s="30" t="s">
        <v>39</v>
      </c>
      <c r="D113" s="32" t="s">
        <v>189</v>
      </c>
      <c r="E113" s="31" t="s">
        <v>31</v>
      </c>
      <c r="F113" s="32">
        <v>10.36875</v>
      </c>
      <c r="G113" s="32">
        <f>F113*1.25</f>
        <v>12.9609375</v>
      </c>
      <c r="H113" s="33">
        <f>D113*1.15*(1+$H$3)*G113</f>
        <v>392927.66953124997</v>
      </c>
      <c r="I113" s="34">
        <f>H113*$I$3</f>
        <v>2019255.2937210936</v>
      </c>
      <c r="J113" s="35">
        <f>I113*1.25</f>
        <v>2524069.117151367</v>
      </c>
    </row>
    <row r="114" spans="1:10" s="17" customFormat="1" ht="12" customHeight="1">
      <c r="A114" s="18"/>
      <c r="B114" s="20"/>
      <c r="C114" s="12"/>
      <c r="D114" s="14"/>
      <c r="E114" s="121"/>
      <c r="F114" s="14"/>
      <c r="G114" s="14"/>
      <c r="H114" s="14"/>
      <c r="I114" s="15"/>
      <c r="J114" s="16"/>
    </row>
    <row r="115" spans="1:10" s="17" customFormat="1" ht="12">
      <c r="A115" s="18" t="s">
        <v>238</v>
      </c>
      <c r="B115" s="56" t="s">
        <v>134</v>
      </c>
      <c r="C115" s="12"/>
      <c r="D115" s="14"/>
      <c r="E115" s="13"/>
      <c r="F115" s="14"/>
      <c r="G115" s="14"/>
      <c r="H115" s="14"/>
      <c r="I115" s="15"/>
      <c r="J115" s="16"/>
    </row>
    <row r="116" spans="1:10" s="17" customFormat="1" ht="12">
      <c r="A116" s="18"/>
      <c r="B116" s="20" t="s">
        <v>85</v>
      </c>
      <c r="C116" s="12"/>
      <c r="D116" s="14"/>
      <c r="E116" s="13"/>
      <c r="F116" s="14"/>
      <c r="G116" s="14"/>
      <c r="H116" s="14"/>
      <c r="I116" s="15"/>
      <c r="J116" s="16"/>
    </row>
    <row r="117" spans="1:10" s="17" customFormat="1" ht="12">
      <c r="A117" s="18"/>
      <c r="B117" s="16" t="s">
        <v>36</v>
      </c>
      <c r="C117" s="12" t="s">
        <v>86</v>
      </c>
      <c r="D117" s="14">
        <f>(2.55+0.47)*1.2</f>
        <v>3.623999999999999</v>
      </c>
      <c r="E117" s="13" t="s">
        <v>52</v>
      </c>
      <c r="F117" s="14">
        <v>9.6925</v>
      </c>
      <c r="G117" s="14">
        <f>F117*1.25</f>
        <v>12.115625000000001</v>
      </c>
      <c r="H117" s="22">
        <f>D117*1.15*(1+$H$3)*G117</f>
        <v>100.98615749999998</v>
      </c>
      <c r="I117" s="23">
        <f>H117*$I$3</f>
        <v>518.9678633924999</v>
      </c>
      <c r="J117" s="24">
        <f>I117*1.25</f>
        <v>648.7098292406249</v>
      </c>
    </row>
    <row r="118" spans="1:10" s="17" customFormat="1" ht="12">
      <c r="A118" s="18"/>
      <c r="B118" s="20" t="s">
        <v>38</v>
      </c>
      <c r="C118" s="12" t="s">
        <v>39</v>
      </c>
      <c r="D118" s="14">
        <f>(4.12+1.5)*1.2</f>
        <v>6.744</v>
      </c>
      <c r="E118" s="13" t="s">
        <v>31</v>
      </c>
      <c r="F118" s="14">
        <v>10.36875</v>
      </c>
      <c r="G118" s="14">
        <f>F118*1.25</f>
        <v>12.9609375</v>
      </c>
      <c r="H118" s="22">
        <f>D118*1.15*(1+$H$3)*G118</f>
        <v>201.03969375</v>
      </c>
      <c r="I118" s="23">
        <f>H118*$I$3</f>
        <v>1033.14298618125</v>
      </c>
      <c r="J118" s="24">
        <f>I118*1.25</f>
        <v>1291.4287327265627</v>
      </c>
    </row>
    <row r="119" spans="1:10" s="17" customFormat="1" ht="12">
      <c r="A119" s="18"/>
      <c r="B119" s="20" t="s">
        <v>40</v>
      </c>
      <c r="C119" s="12" t="s">
        <v>39</v>
      </c>
      <c r="D119" s="14">
        <f>(6.24+4.34)*1.2</f>
        <v>12.696</v>
      </c>
      <c r="E119" s="13" t="s">
        <v>31</v>
      </c>
      <c r="F119" s="14">
        <v>10.36875</v>
      </c>
      <c r="G119" s="14">
        <f>F119*1.25</f>
        <v>12.9609375</v>
      </c>
      <c r="H119" s="22">
        <f>D119*1.15*(1+$H$3)*G119</f>
        <v>378.46974374999996</v>
      </c>
      <c r="I119" s="23">
        <f>H119*$I$3</f>
        <v>1944.9560131312498</v>
      </c>
      <c r="J119" s="24">
        <f>I119*1.25</f>
        <v>2431.195016414062</v>
      </c>
    </row>
    <row r="120" spans="1:10" s="17" customFormat="1" ht="12">
      <c r="A120" s="18" t="s">
        <v>239</v>
      </c>
      <c r="B120" s="19" t="s">
        <v>97</v>
      </c>
      <c r="C120" s="12"/>
      <c r="D120" s="14"/>
      <c r="E120" s="13"/>
      <c r="F120" s="14"/>
      <c r="G120" s="14"/>
      <c r="H120" s="14"/>
      <c r="I120" s="15"/>
      <c r="J120" s="16"/>
    </row>
    <row r="121" spans="1:10" s="17" customFormat="1" ht="12">
      <c r="A121" s="18"/>
      <c r="B121" s="16" t="s">
        <v>36</v>
      </c>
      <c r="C121" s="12" t="s">
        <v>86</v>
      </c>
      <c r="D121" s="14" t="s">
        <v>184</v>
      </c>
      <c r="E121" s="13" t="s">
        <v>52</v>
      </c>
      <c r="F121" s="14">
        <v>9.6925</v>
      </c>
      <c r="G121" s="14">
        <f>F121*1.25</f>
        <v>12.115625000000001</v>
      </c>
      <c r="H121" s="22">
        <f>D121*1.15*(1+$H$3)*G121</f>
        <v>428383.0571875</v>
      </c>
      <c r="I121" s="23">
        <f>H121*$I$3</f>
        <v>2201460.5308865625</v>
      </c>
      <c r="J121" s="24">
        <f>I121*1.25</f>
        <v>2751825.663608203</v>
      </c>
    </row>
    <row r="122" spans="1:10" s="17" customFormat="1" ht="12">
      <c r="A122" s="18"/>
      <c r="B122" s="20" t="s">
        <v>38</v>
      </c>
      <c r="C122" s="12" t="s">
        <v>39</v>
      </c>
      <c r="D122" s="14" t="s">
        <v>185</v>
      </c>
      <c r="E122" s="13" t="s">
        <v>31</v>
      </c>
      <c r="F122" s="14">
        <v>10.36875</v>
      </c>
      <c r="G122" s="14">
        <f>F122*1.25</f>
        <v>12.9609375</v>
      </c>
      <c r="H122" s="22">
        <f>D122*1.15*(1+$H$3)*G122</f>
        <v>774855.39140625</v>
      </c>
      <c r="I122" s="23">
        <f>H122*$I$3</f>
        <v>3981981.8564367187</v>
      </c>
      <c r="J122" s="24">
        <f>I122*1.25</f>
        <v>4977477.320545899</v>
      </c>
    </row>
    <row r="123" spans="1:10" s="17" customFormat="1" ht="12">
      <c r="A123" s="18"/>
      <c r="B123" s="20" t="s">
        <v>40</v>
      </c>
      <c r="C123" s="12" t="s">
        <v>39</v>
      </c>
      <c r="D123" s="14" t="s">
        <v>186</v>
      </c>
      <c r="E123" s="13" t="s">
        <v>31</v>
      </c>
      <c r="F123" s="14">
        <v>10.36875</v>
      </c>
      <c r="G123" s="14">
        <f>F123*1.25</f>
        <v>12.9609375</v>
      </c>
      <c r="H123" s="22">
        <f>D123*1.15*(1+$H$3)*G123</f>
        <v>1320321.63046875</v>
      </c>
      <c r="I123" s="23">
        <f>H123*$I$3</f>
        <v>6785132.858978906</v>
      </c>
      <c r="J123" s="24">
        <f>I123*1.25</f>
        <v>8481416.073723633</v>
      </c>
    </row>
    <row r="124" spans="1:10" s="17" customFormat="1" ht="12">
      <c r="A124" s="18" t="s">
        <v>240</v>
      </c>
      <c r="B124" s="19" t="s">
        <v>98</v>
      </c>
      <c r="C124" s="12"/>
      <c r="D124" s="14"/>
      <c r="E124" s="13"/>
      <c r="F124" s="14"/>
      <c r="G124" s="14"/>
      <c r="H124" s="14"/>
      <c r="I124" s="15"/>
      <c r="J124" s="16"/>
    </row>
    <row r="125" spans="1:10" s="17" customFormat="1" ht="12">
      <c r="A125" s="18"/>
      <c r="B125" s="16" t="s">
        <v>36</v>
      </c>
      <c r="C125" s="12" t="s">
        <v>86</v>
      </c>
      <c r="D125" s="14" t="s">
        <v>178</v>
      </c>
      <c r="E125" s="13" t="s">
        <v>52</v>
      </c>
      <c r="F125" s="14">
        <v>9.6925</v>
      </c>
      <c r="G125" s="14">
        <f>F125*1.25</f>
        <v>12.115625000000001</v>
      </c>
      <c r="H125" s="22" t="e">
        <f>D125*1.15*(1+$H$3)*G125</f>
        <v>#VALUE!</v>
      </c>
      <c r="I125" s="23" t="e">
        <f>H125*$I$3</f>
        <v>#VALUE!</v>
      </c>
      <c r="J125" s="24" t="e">
        <f>I125*1.25</f>
        <v>#VALUE!</v>
      </c>
    </row>
    <row r="126" spans="1:10" s="17" customFormat="1" ht="12">
      <c r="A126" s="18"/>
      <c r="B126" s="20" t="s">
        <v>38</v>
      </c>
      <c r="C126" s="12" t="s">
        <v>39</v>
      </c>
      <c r="D126" s="14" t="s">
        <v>179</v>
      </c>
      <c r="E126" s="13" t="s">
        <v>31</v>
      </c>
      <c r="F126" s="14">
        <v>10.36875</v>
      </c>
      <c r="G126" s="14">
        <f>F126*1.25</f>
        <v>12.9609375</v>
      </c>
      <c r="H126" s="22">
        <f>D126*1.15*(1+$H$3)*G126</f>
        <v>1321096.6945312498</v>
      </c>
      <c r="I126" s="23">
        <f>H126*$I$3</f>
        <v>6789115.913196093</v>
      </c>
      <c r="J126" s="24">
        <f>I126*1.25</f>
        <v>8486394.891495116</v>
      </c>
    </row>
    <row r="127" spans="1:10" s="17" customFormat="1" ht="12">
      <c r="A127" s="28"/>
      <c r="B127" s="29" t="s">
        <v>40</v>
      </c>
      <c r="C127" s="30" t="s">
        <v>39</v>
      </c>
      <c r="D127" s="32" t="s">
        <v>180</v>
      </c>
      <c r="E127" s="31" t="s">
        <v>31</v>
      </c>
      <c r="F127" s="32">
        <v>10.36875</v>
      </c>
      <c r="G127" s="32">
        <f>F127*1.25</f>
        <v>12.9609375</v>
      </c>
      <c r="H127" s="33">
        <f>D127*1.15*(1+$H$3)*G127</f>
        <v>427358.39999999997</v>
      </c>
      <c r="I127" s="34">
        <f>H127*$I$3</f>
        <v>2196194.8175999997</v>
      </c>
      <c r="J127" s="35">
        <f>I127*1.25</f>
        <v>2745243.522</v>
      </c>
    </row>
    <row r="128" spans="1:10" s="17" customFormat="1" ht="12">
      <c r="A128" s="18" t="s">
        <v>241</v>
      </c>
      <c r="B128" s="19" t="s">
        <v>141</v>
      </c>
      <c r="C128" s="12"/>
      <c r="D128" s="14"/>
      <c r="E128" s="13"/>
      <c r="F128" s="14"/>
      <c r="G128" s="14"/>
      <c r="H128" s="14"/>
      <c r="I128" s="15"/>
      <c r="J128" s="16"/>
    </row>
    <row r="129" spans="1:10" s="17" customFormat="1" ht="12">
      <c r="A129" s="18"/>
      <c r="B129" s="20" t="s">
        <v>133</v>
      </c>
      <c r="C129" s="12"/>
      <c r="D129" s="14"/>
      <c r="E129" s="13"/>
      <c r="F129" s="14"/>
      <c r="G129" s="14"/>
      <c r="H129" s="14"/>
      <c r="I129" s="15"/>
      <c r="J129" s="16"/>
    </row>
    <row r="130" spans="1:10" s="17" customFormat="1" ht="12">
      <c r="A130" s="18"/>
      <c r="B130" s="16" t="s">
        <v>36</v>
      </c>
      <c r="C130" s="12" t="s">
        <v>86</v>
      </c>
      <c r="D130" s="14">
        <f>(1.45+0.47)*1.2</f>
        <v>2.304</v>
      </c>
      <c r="E130" s="13" t="s">
        <v>52</v>
      </c>
      <c r="F130" s="14">
        <v>9.6925</v>
      </c>
      <c r="G130" s="14">
        <f>F130*1.25</f>
        <v>12.115625000000001</v>
      </c>
      <c r="H130" s="22">
        <f>D130*1.15*(1+$H$3)*G130</f>
        <v>64.20312</v>
      </c>
      <c r="I130" s="23">
        <f>H130*$I$3</f>
        <v>329.93983368</v>
      </c>
      <c r="J130" s="24">
        <f>I130*1.25</f>
        <v>412.4247921</v>
      </c>
    </row>
    <row r="131" spans="1:10" s="17" customFormat="1" ht="12">
      <c r="A131" s="18"/>
      <c r="B131" s="20" t="s">
        <v>38</v>
      </c>
      <c r="C131" s="12" t="s">
        <v>39</v>
      </c>
      <c r="D131" s="14">
        <f>(2.65+1.5)*1.2</f>
        <v>4.98</v>
      </c>
      <c r="E131" s="13" t="s">
        <v>31</v>
      </c>
      <c r="F131" s="14">
        <v>10.36875</v>
      </c>
      <c r="G131" s="14">
        <f>F131*1.25</f>
        <v>12.9609375</v>
      </c>
      <c r="H131" s="22">
        <f>D131*1.15*(1+$H$3)*G131</f>
        <v>148.454578125</v>
      </c>
      <c r="I131" s="23">
        <f>H131*$I$3</f>
        <v>762.908076984375</v>
      </c>
      <c r="J131" s="24">
        <f>I131*1.25</f>
        <v>953.6350962304688</v>
      </c>
    </row>
    <row r="132" spans="1:10" s="17" customFormat="1" ht="12">
      <c r="A132" s="18"/>
      <c r="B132" s="20" t="s">
        <v>40</v>
      </c>
      <c r="C132" s="12" t="s">
        <v>39</v>
      </c>
      <c r="D132" s="14">
        <f>(4.39+4.39)*1.2</f>
        <v>10.536</v>
      </c>
      <c r="E132" s="13" t="s">
        <v>31</v>
      </c>
      <c r="F132" s="14">
        <v>10.36875</v>
      </c>
      <c r="G132" s="14">
        <f>F132*1.25</f>
        <v>12.9609375</v>
      </c>
      <c r="H132" s="22">
        <f>D132*1.15*(1+$H$3)*G132</f>
        <v>314.07980625</v>
      </c>
      <c r="I132" s="23">
        <f>H132*$I$3</f>
        <v>1614.05612431875</v>
      </c>
      <c r="J132" s="24">
        <f>I132*1.25</f>
        <v>2017.5701553984377</v>
      </c>
    </row>
    <row r="133" spans="1:10" s="17" customFormat="1" ht="12">
      <c r="A133" s="18" t="s">
        <v>242</v>
      </c>
      <c r="B133" s="19" t="s">
        <v>140</v>
      </c>
      <c r="C133" s="12"/>
      <c r="D133" s="14"/>
      <c r="E133" s="13"/>
      <c r="F133" s="14"/>
      <c r="G133" s="14"/>
      <c r="H133" s="14"/>
      <c r="I133" s="15"/>
      <c r="J133" s="16"/>
    </row>
    <row r="134" spans="1:10" s="17" customFormat="1" ht="12">
      <c r="A134" s="18"/>
      <c r="B134" s="16" t="s">
        <v>36</v>
      </c>
      <c r="C134" s="12" t="s">
        <v>86</v>
      </c>
      <c r="D134" s="14" t="s">
        <v>181</v>
      </c>
      <c r="E134" s="13" t="s">
        <v>52</v>
      </c>
      <c r="F134" s="14">
        <v>9.6925</v>
      </c>
      <c r="G134" s="14">
        <f>F134*1.25</f>
        <v>12.115625000000001</v>
      </c>
      <c r="H134" s="22">
        <f>D134*1.15*(1+$H$3)*G134</f>
        <v>325724.9434375</v>
      </c>
      <c r="I134" s="23">
        <f>H134*$I$3</f>
        <v>1673900.4843253125</v>
      </c>
      <c r="J134" s="24">
        <f>I134*1.25</f>
        <v>2092375.6054066406</v>
      </c>
    </row>
    <row r="135" spans="1:10" s="17" customFormat="1" ht="12">
      <c r="A135" s="18"/>
      <c r="B135" s="20" t="s">
        <v>38</v>
      </c>
      <c r="C135" s="12" t="s">
        <v>39</v>
      </c>
      <c r="D135" s="14" t="s">
        <v>182</v>
      </c>
      <c r="E135" s="13" t="s">
        <v>31</v>
      </c>
      <c r="F135" s="14">
        <v>10.36875</v>
      </c>
      <c r="G135" s="14">
        <f>F135*1.25</f>
        <v>12.9609375</v>
      </c>
      <c r="H135" s="22">
        <f>D135*1.15*(1+$H$3)*G135</f>
        <v>1351085.71171875</v>
      </c>
      <c r="I135" s="23">
        <f>H135*$I$3</f>
        <v>6943229.472522656</v>
      </c>
      <c r="J135" s="24">
        <f>I135*1.25</f>
        <v>8679036.84065332</v>
      </c>
    </row>
    <row r="136" spans="1:10" s="17" customFormat="1" ht="12.75" thickBot="1">
      <c r="A136" s="36"/>
      <c r="B136" s="37" t="s">
        <v>40</v>
      </c>
      <c r="C136" s="38" t="s">
        <v>39</v>
      </c>
      <c r="D136" s="40" t="s">
        <v>183</v>
      </c>
      <c r="E136" s="39" t="s">
        <v>31</v>
      </c>
      <c r="F136" s="40">
        <v>10.36875</v>
      </c>
      <c r="G136" s="40">
        <f>F136*1.25</f>
        <v>12.9609375</v>
      </c>
      <c r="H136" s="41">
        <f>D136*1.15*(1+$H$3)*G136</f>
        <v>1297487.0507812498</v>
      </c>
      <c r="I136" s="42">
        <f>H136*$I$3</f>
        <v>6667785.9539648425</v>
      </c>
      <c r="J136" s="43">
        <f>I136*1.25</f>
        <v>8334732.442456054</v>
      </c>
    </row>
    <row r="137" spans="1:10" s="9" customFormat="1" ht="12.75" thickBot="1">
      <c r="A137" s="7" t="s">
        <v>20</v>
      </c>
      <c r="B137" s="8">
        <v>2</v>
      </c>
      <c r="C137" s="8">
        <v>3</v>
      </c>
      <c r="D137" s="8">
        <v>4</v>
      </c>
      <c r="E137" s="8">
        <v>5</v>
      </c>
      <c r="F137" s="8">
        <v>6</v>
      </c>
      <c r="G137" s="8">
        <v>6</v>
      </c>
      <c r="H137" s="8">
        <v>7</v>
      </c>
      <c r="I137" s="8">
        <v>4</v>
      </c>
      <c r="J137" s="7" t="s">
        <v>84</v>
      </c>
    </row>
    <row r="138" spans="1:10" s="17" customFormat="1" ht="12">
      <c r="A138" s="18" t="s">
        <v>243</v>
      </c>
      <c r="B138" s="19" t="s">
        <v>98</v>
      </c>
      <c r="C138" s="12"/>
      <c r="D138" s="13"/>
      <c r="E138" s="12"/>
      <c r="F138" s="14"/>
      <c r="G138" s="14"/>
      <c r="H138" s="14"/>
      <c r="I138" s="15"/>
      <c r="J138" s="16"/>
    </row>
    <row r="139" spans="1:10" s="17" customFormat="1" ht="12">
      <c r="A139" s="18"/>
      <c r="B139" s="16" t="s">
        <v>36</v>
      </c>
      <c r="C139" s="12" t="s">
        <v>86</v>
      </c>
      <c r="D139" s="121" t="s">
        <v>178</v>
      </c>
      <c r="E139" s="12" t="s">
        <v>52</v>
      </c>
      <c r="F139" s="14">
        <v>9.6925</v>
      </c>
      <c r="G139" s="14">
        <f>F139*1.25</f>
        <v>12.115625000000001</v>
      </c>
      <c r="H139" s="22" t="e">
        <f>D139*1.15*(1+$H$3)*G139</f>
        <v>#VALUE!</v>
      </c>
      <c r="I139" s="23" t="e">
        <f>H139*$I$3</f>
        <v>#VALUE!</v>
      </c>
      <c r="J139" s="24" t="e">
        <f>I139*1.25</f>
        <v>#VALUE!</v>
      </c>
    </row>
    <row r="140" spans="1:10" s="17" customFormat="1" ht="12">
      <c r="A140" s="18"/>
      <c r="B140" s="20" t="s">
        <v>38</v>
      </c>
      <c r="C140" s="12" t="s">
        <v>39</v>
      </c>
      <c r="D140" s="121" t="s">
        <v>179</v>
      </c>
      <c r="E140" s="12" t="s">
        <v>31</v>
      </c>
      <c r="F140" s="14">
        <v>10.36875</v>
      </c>
      <c r="G140" s="14">
        <f>F140*1.25</f>
        <v>12.9609375</v>
      </c>
      <c r="H140" s="22">
        <f>D140*1.15*(1+$H$3)*G140</f>
        <v>1321096.6945312498</v>
      </c>
      <c r="I140" s="23">
        <f>H140*$I$3</f>
        <v>6789115.913196093</v>
      </c>
      <c r="J140" s="24">
        <f>I140*1.25</f>
        <v>8486394.891495116</v>
      </c>
    </row>
    <row r="141" spans="1:10" s="17" customFormat="1" ht="12">
      <c r="A141" s="28"/>
      <c r="B141" s="29" t="s">
        <v>40</v>
      </c>
      <c r="C141" s="30" t="s">
        <v>39</v>
      </c>
      <c r="D141" s="125" t="s">
        <v>180</v>
      </c>
      <c r="E141" s="30" t="s">
        <v>31</v>
      </c>
      <c r="F141" s="32">
        <v>10.36875</v>
      </c>
      <c r="G141" s="32">
        <f>F141*1.25</f>
        <v>12.9609375</v>
      </c>
      <c r="H141" s="33">
        <f>D141*1.15*(1+$H$3)*G141</f>
        <v>427358.39999999997</v>
      </c>
      <c r="I141" s="34">
        <f>H141*$I$3</f>
        <v>2196194.8175999997</v>
      </c>
      <c r="J141" s="35">
        <f>I141*1.25</f>
        <v>2745243.522</v>
      </c>
    </row>
    <row r="142" spans="1:10" s="17" customFormat="1" ht="12">
      <c r="A142" s="18" t="s">
        <v>244</v>
      </c>
      <c r="B142" s="19" t="s">
        <v>142</v>
      </c>
      <c r="C142" s="12"/>
      <c r="D142" s="121"/>
      <c r="E142" s="12"/>
      <c r="F142" s="14"/>
      <c r="G142" s="14"/>
      <c r="H142" s="14"/>
      <c r="I142" s="15"/>
      <c r="J142" s="16"/>
    </row>
    <row r="143" spans="1:10" s="17" customFormat="1" ht="12">
      <c r="A143" s="18"/>
      <c r="B143" s="20" t="s">
        <v>99</v>
      </c>
      <c r="C143" s="12"/>
      <c r="D143" s="121"/>
      <c r="E143" s="12"/>
      <c r="F143" s="14"/>
      <c r="G143" s="14"/>
      <c r="H143" s="14"/>
      <c r="I143" s="15"/>
      <c r="J143" s="16"/>
    </row>
    <row r="144" spans="1:10" s="17" customFormat="1" ht="12">
      <c r="A144" s="18"/>
      <c r="B144" s="16" t="s">
        <v>36</v>
      </c>
      <c r="C144" s="12" t="s">
        <v>51</v>
      </c>
      <c r="D144" s="121">
        <f>1.8*1.2</f>
        <v>2.16</v>
      </c>
      <c r="E144" s="12" t="s">
        <v>52</v>
      </c>
      <c r="F144" s="14">
        <v>9.6925</v>
      </c>
      <c r="G144" s="14">
        <f>F144*1.25</f>
        <v>12.115625000000001</v>
      </c>
      <c r="H144" s="22">
        <f>D144*1.15*(1+$H$3)*G144</f>
        <v>60.190425000000005</v>
      </c>
      <c r="I144" s="23">
        <f>H144*$I$3</f>
        <v>309.318594075</v>
      </c>
      <c r="J144" s="24">
        <f>I144*1.25</f>
        <v>386.64824259375</v>
      </c>
    </row>
    <row r="145" spans="1:10" s="17" customFormat="1" ht="12">
      <c r="A145" s="18"/>
      <c r="B145" s="20" t="s">
        <v>38</v>
      </c>
      <c r="C145" s="12" t="s">
        <v>39</v>
      </c>
      <c r="D145" s="121">
        <f>2.37*1.2</f>
        <v>2.844</v>
      </c>
      <c r="E145" s="12" t="s">
        <v>31</v>
      </c>
      <c r="F145" s="14">
        <v>10.36875</v>
      </c>
      <c r="G145" s="14">
        <f>F145*1.25</f>
        <v>12.9609375</v>
      </c>
      <c r="H145" s="22">
        <f>D145*1.15*(1+$H$3)*G145</f>
        <v>84.78008437499999</v>
      </c>
      <c r="I145" s="23">
        <f>H145*$I$3</f>
        <v>435.68485360312496</v>
      </c>
      <c r="J145" s="24">
        <f>I145*1.25</f>
        <v>544.6060670039062</v>
      </c>
    </row>
    <row r="146" spans="1:10" s="17" customFormat="1" ht="12">
      <c r="A146" s="18"/>
      <c r="B146" s="20" t="s">
        <v>40</v>
      </c>
      <c r="C146" s="12" t="s">
        <v>39</v>
      </c>
      <c r="D146" s="121">
        <f>2.82*1.2</f>
        <v>3.384</v>
      </c>
      <c r="E146" s="12" t="s">
        <v>31</v>
      </c>
      <c r="F146" s="14">
        <v>10.36875</v>
      </c>
      <c r="G146" s="14">
        <f>F146*1.25</f>
        <v>12.9609375</v>
      </c>
      <c r="H146" s="22">
        <f>D146*1.15*(1+$H$3)*G146</f>
        <v>100.87756874999998</v>
      </c>
      <c r="I146" s="23">
        <f>H146*$I$3</f>
        <v>518.40982580625</v>
      </c>
      <c r="J146" s="24">
        <f>I146*1.25</f>
        <v>648.0122822578124</v>
      </c>
    </row>
    <row r="147" spans="1:10" s="17" customFormat="1" ht="12">
      <c r="A147" s="18" t="s">
        <v>245</v>
      </c>
      <c r="B147" s="19" t="s">
        <v>100</v>
      </c>
      <c r="C147" s="12"/>
      <c r="D147" s="121"/>
      <c r="E147" s="12"/>
      <c r="F147" s="14"/>
      <c r="G147" s="14"/>
      <c r="H147" s="14"/>
      <c r="I147" s="15"/>
      <c r="J147" s="16"/>
    </row>
    <row r="148" spans="1:10" s="17" customFormat="1" ht="12">
      <c r="A148" s="18"/>
      <c r="B148" s="16" t="s">
        <v>36</v>
      </c>
      <c r="C148" s="12" t="s">
        <v>51</v>
      </c>
      <c r="D148" s="121" t="s">
        <v>175</v>
      </c>
      <c r="E148" s="12" t="s">
        <v>52</v>
      </c>
      <c r="F148" s="14">
        <v>9.6925</v>
      </c>
      <c r="G148" s="14">
        <f>F148*1.25</f>
        <v>12.115625000000001</v>
      </c>
      <c r="H148" s="22">
        <f>D148*1.15*(1+$H$3)*G148</f>
        <v>1251932.9740625</v>
      </c>
      <c r="I148" s="23">
        <f>H148*$I$3</f>
        <v>6433683.553707188</v>
      </c>
      <c r="J148" s="24">
        <f>I148*1.25</f>
        <v>8042104.442133985</v>
      </c>
    </row>
    <row r="149" spans="1:10" s="17" customFormat="1" ht="12">
      <c r="A149" s="18"/>
      <c r="B149" s="20" t="s">
        <v>38</v>
      </c>
      <c r="C149" s="12" t="s">
        <v>39</v>
      </c>
      <c r="D149" s="121" t="s">
        <v>176</v>
      </c>
      <c r="E149" s="12" t="s">
        <v>31</v>
      </c>
      <c r="F149" s="14">
        <v>10.36875</v>
      </c>
      <c r="G149" s="14">
        <f>F149*1.25</f>
        <v>12.9609375</v>
      </c>
      <c r="H149" s="22">
        <f>D149*1.15*(1+$H$3)*G149</f>
        <v>1323839.2289062499</v>
      </c>
      <c r="I149" s="23">
        <f>H149*$I$3</f>
        <v>6803209.797349218</v>
      </c>
      <c r="J149" s="24">
        <f>I149*1.25</f>
        <v>8504012.246686522</v>
      </c>
    </row>
    <row r="150" spans="1:10" s="17" customFormat="1" ht="12">
      <c r="A150" s="28"/>
      <c r="B150" s="29" t="s">
        <v>40</v>
      </c>
      <c r="C150" s="30" t="s">
        <v>39</v>
      </c>
      <c r="D150" s="125" t="s">
        <v>177</v>
      </c>
      <c r="E150" s="30" t="s">
        <v>31</v>
      </c>
      <c r="F150" s="32">
        <v>10.36875</v>
      </c>
      <c r="G150" s="32">
        <f>F150*1.25</f>
        <v>12.9609375</v>
      </c>
      <c r="H150" s="33">
        <f>D150*1.15*(1+$H$3)*G150</f>
        <v>1361996.2289062499</v>
      </c>
      <c r="I150" s="34">
        <f>H150*$I$3</f>
        <v>6999298.620349218</v>
      </c>
      <c r="J150" s="35">
        <f>I150*1.25</f>
        <v>8749123.275436522</v>
      </c>
    </row>
    <row r="151" spans="1:10" s="17" customFormat="1" ht="12">
      <c r="A151" s="18" t="s">
        <v>246</v>
      </c>
      <c r="B151" s="19" t="s">
        <v>101</v>
      </c>
      <c r="C151" s="12"/>
      <c r="D151" s="121"/>
      <c r="E151" s="12"/>
      <c r="F151" s="14"/>
      <c r="G151" s="14"/>
      <c r="H151" s="14"/>
      <c r="I151" s="15"/>
      <c r="J151" s="16"/>
    </row>
    <row r="152" spans="1:10" s="17" customFormat="1" ht="12">
      <c r="A152" s="18"/>
      <c r="B152" s="20" t="s">
        <v>139</v>
      </c>
      <c r="C152" s="12"/>
      <c r="D152" s="121"/>
      <c r="E152" s="12"/>
      <c r="F152" s="14"/>
      <c r="G152" s="14"/>
      <c r="H152" s="14"/>
      <c r="I152" s="15"/>
      <c r="J152" s="16"/>
    </row>
    <row r="153" spans="1:10" s="17" customFormat="1" ht="12">
      <c r="A153" s="18"/>
      <c r="B153" s="16" t="s">
        <v>36</v>
      </c>
      <c r="C153" s="12" t="s">
        <v>51</v>
      </c>
      <c r="D153" s="121">
        <f>8.92*1.2</f>
        <v>10.703999999999999</v>
      </c>
      <c r="E153" s="12" t="s">
        <v>52</v>
      </c>
      <c r="F153" s="14">
        <v>9.6925</v>
      </c>
      <c r="G153" s="14">
        <f>F153*1.25</f>
        <v>12.115625000000001</v>
      </c>
      <c r="H153" s="22">
        <f>D153*1.15*(1+$H$3)*G153</f>
        <v>298.276995</v>
      </c>
      <c r="I153" s="23">
        <f>H153*$I$3</f>
        <v>1532.845477305</v>
      </c>
      <c r="J153" s="24">
        <f>I153*1.25</f>
        <v>1916.05684663125</v>
      </c>
    </row>
    <row r="154" spans="1:10" s="17" customFormat="1" ht="12">
      <c r="A154" s="18"/>
      <c r="B154" s="20" t="s">
        <v>38</v>
      </c>
      <c r="C154" s="12" t="s">
        <v>39</v>
      </c>
      <c r="D154" s="121">
        <f>11.48*1.2</f>
        <v>13.776</v>
      </c>
      <c r="E154" s="12" t="s">
        <v>31</v>
      </c>
      <c r="F154" s="14">
        <v>10.36875</v>
      </c>
      <c r="G154" s="14">
        <f>F154*1.25</f>
        <v>12.9609375</v>
      </c>
      <c r="H154" s="22">
        <f>D154*1.15*(1+$H$3)*G154</f>
        <v>410.66471249999995</v>
      </c>
      <c r="I154" s="23">
        <f>H154*$I$3</f>
        <v>2110.4059575375</v>
      </c>
      <c r="J154" s="24">
        <f>I154*1.25</f>
        <v>2638.007446921875</v>
      </c>
    </row>
    <row r="155" spans="1:10" s="17" customFormat="1" ht="12">
      <c r="A155" s="18"/>
      <c r="B155" s="20" t="s">
        <v>40</v>
      </c>
      <c r="C155" s="12" t="s">
        <v>39</v>
      </c>
      <c r="D155" s="121">
        <f>18.71*1.2</f>
        <v>22.452</v>
      </c>
      <c r="E155" s="12" t="s">
        <v>31</v>
      </c>
      <c r="F155" s="14">
        <v>10.36875</v>
      </c>
      <c r="G155" s="14">
        <f>F155*1.25</f>
        <v>12.9609375</v>
      </c>
      <c r="H155" s="22">
        <f>D155*1.15*(1+$H$3)*G155</f>
        <v>669.2976281250001</v>
      </c>
      <c r="I155" s="23">
        <f>H155*$I$3</f>
        <v>3439.5205109343756</v>
      </c>
      <c r="J155" s="24">
        <f>I155*1.25</f>
        <v>4299.400638667969</v>
      </c>
    </row>
    <row r="156" spans="1:10" s="17" customFormat="1" ht="12">
      <c r="A156" s="18" t="s">
        <v>247</v>
      </c>
      <c r="B156" s="19" t="s">
        <v>102</v>
      </c>
      <c r="C156" s="12"/>
      <c r="D156" s="121"/>
      <c r="E156" s="12"/>
      <c r="F156" s="14"/>
      <c r="G156" s="14"/>
      <c r="H156" s="14"/>
      <c r="I156" s="15"/>
      <c r="J156" s="16"/>
    </row>
    <row r="157" spans="1:10" s="17" customFormat="1" ht="12">
      <c r="A157" s="18"/>
      <c r="B157" s="16" t="s">
        <v>36</v>
      </c>
      <c r="C157" s="12" t="s">
        <v>51</v>
      </c>
      <c r="D157" s="121" t="s">
        <v>172</v>
      </c>
      <c r="E157" s="12" t="s">
        <v>52</v>
      </c>
      <c r="F157" s="14">
        <v>9.6925</v>
      </c>
      <c r="G157" s="14">
        <f>F157*1.25</f>
        <v>12.115625000000001</v>
      </c>
      <c r="H157" s="22">
        <f>D157*1.15*(1+$H$3)*G157</f>
        <v>1232566.1475</v>
      </c>
      <c r="I157" s="23">
        <f>H157*$I$3</f>
        <v>6334157.4320025</v>
      </c>
      <c r="J157" s="24">
        <f>I157*1.25</f>
        <v>7917696.790003125</v>
      </c>
    </row>
    <row r="158" spans="1:10" s="17" customFormat="1" ht="12">
      <c r="A158" s="18"/>
      <c r="B158" s="20" t="s">
        <v>38</v>
      </c>
      <c r="C158" s="12" t="s">
        <v>39</v>
      </c>
      <c r="D158" s="121" t="s">
        <v>173</v>
      </c>
      <c r="E158" s="12" t="s">
        <v>31</v>
      </c>
      <c r="F158" s="14">
        <v>10.36875</v>
      </c>
      <c r="G158" s="14">
        <f>F158*1.25</f>
        <v>12.9609375</v>
      </c>
      <c r="H158" s="22">
        <f>D158*1.15*(1+$H$3)*G158</f>
        <v>843836.0929687499</v>
      </c>
      <c r="I158" s="23">
        <f>H158*$I$3</f>
        <v>4336473.681766406</v>
      </c>
      <c r="J158" s="24">
        <f>I158*1.25</f>
        <v>5420592.102208007</v>
      </c>
    </row>
    <row r="159" spans="1:10" s="17" customFormat="1" ht="12">
      <c r="A159" s="28"/>
      <c r="B159" s="29" t="s">
        <v>40</v>
      </c>
      <c r="C159" s="30" t="s">
        <v>39</v>
      </c>
      <c r="D159" s="125" t="s">
        <v>174</v>
      </c>
      <c r="E159" s="30" t="s">
        <v>31</v>
      </c>
      <c r="F159" s="32">
        <v>10.36875</v>
      </c>
      <c r="G159" s="32">
        <f>F159*1.25</f>
        <v>12.9609375</v>
      </c>
      <c r="H159" s="33" t="e">
        <f>D159*1.15*(1+$H$3)*G159</f>
        <v>#VALUE!</v>
      </c>
      <c r="I159" s="34" t="e">
        <f>H159*$I$3</f>
        <v>#VALUE!</v>
      </c>
      <c r="J159" s="35" t="e">
        <f>I159*1.25</f>
        <v>#VALUE!</v>
      </c>
    </row>
    <row r="160" spans="1:10" s="17" customFormat="1" ht="12">
      <c r="A160" s="18" t="s">
        <v>248</v>
      </c>
      <c r="B160" s="19" t="s">
        <v>131</v>
      </c>
      <c r="C160" s="12"/>
      <c r="D160" s="121"/>
      <c r="E160" s="12"/>
      <c r="F160" s="14"/>
      <c r="G160" s="14"/>
      <c r="H160" s="14"/>
      <c r="I160" s="15"/>
      <c r="J160" s="16"/>
    </row>
    <row r="161" spans="1:10" s="17" customFormat="1" ht="12">
      <c r="A161" s="18"/>
      <c r="B161" s="19" t="s">
        <v>147</v>
      </c>
      <c r="C161" s="12"/>
      <c r="D161" s="121"/>
      <c r="E161" s="12"/>
      <c r="F161" s="14"/>
      <c r="G161" s="14"/>
      <c r="H161" s="14"/>
      <c r="I161" s="15"/>
      <c r="J161" s="16"/>
    </row>
    <row r="162" spans="1:10" s="17" customFormat="1" ht="12">
      <c r="A162" s="18"/>
      <c r="B162" s="16" t="s">
        <v>36</v>
      </c>
      <c r="C162" s="12" t="s">
        <v>51</v>
      </c>
      <c r="D162" s="121">
        <f>1.84*1.2</f>
        <v>2.208</v>
      </c>
      <c r="E162" s="12" t="s">
        <v>52</v>
      </c>
      <c r="F162" s="14">
        <v>9.6925</v>
      </c>
      <c r="G162" s="14">
        <f>F162*1.25</f>
        <v>12.115625000000001</v>
      </c>
      <c r="H162" s="22">
        <f>D162*1.15*(1+$H$3)*G162</f>
        <v>61.52799000000001</v>
      </c>
      <c r="I162" s="23">
        <f>H162*$I$3</f>
        <v>316.1923406100001</v>
      </c>
      <c r="J162" s="24">
        <f>I162*1.25</f>
        <v>395.2404257625001</v>
      </c>
    </row>
    <row r="163" spans="1:10" s="17" customFormat="1" ht="12">
      <c r="A163" s="18"/>
      <c r="B163" s="20" t="s">
        <v>38</v>
      </c>
      <c r="C163" s="12" t="s">
        <v>39</v>
      </c>
      <c r="D163" s="121">
        <f>2.4*1.2</f>
        <v>2.88</v>
      </c>
      <c r="E163" s="12" t="s">
        <v>31</v>
      </c>
      <c r="F163" s="14">
        <v>10.36875</v>
      </c>
      <c r="G163" s="14">
        <f>F163*1.25</f>
        <v>12.9609375</v>
      </c>
      <c r="H163" s="22">
        <f>D163*1.15*(1+$H$3)*G163</f>
        <v>85.85325</v>
      </c>
      <c r="I163" s="23">
        <f>H163*$I$3</f>
        <v>441.19985175000005</v>
      </c>
      <c r="J163" s="24">
        <f>I163*1.25</f>
        <v>551.4998146875</v>
      </c>
    </row>
    <row r="164" spans="1:10" s="17" customFormat="1" ht="12">
      <c r="A164" s="18"/>
      <c r="B164" s="20" t="s">
        <v>40</v>
      </c>
      <c r="C164" s="12" t="s">
        <v>39</v>
      </c>
      <c r="D164" s="121">
        <f>3.98*1.2</f>
        <v>4.776</v>
      </c>
      <c r="E164" s="12" t="s">
        <v>31</v>
      </c>
      <c r="F164" s="14">
        <v>10.36875</v>
      </c>
      <c r="G164" s="14">
        <f>F164*1.25</f>
        <v>12.9609375</v>
      </c>
      <c r="H164" s="22">
        <f>D164*1.15*(1+$H$3)*G164</f>
        <v>142.37330624999998</v>
      </c>
      <c r="I164" s="23">
        <f>H164*$I$3</f>
        <v>731.65642081875</v>
      </c>
      <c r="J164" s="24">
        <f>I164*1.25</f>
        <v>914.5705260234375</v>
      </c>
    </row>
    <row r="165" spans="1:10" s="17" customFormat="1" ht="12">
      <c r="A165" s="18" t="s">
        <v>249</v>
      </c>
      <c r="B165" s="19" t="s">
        <v>103</v>
      </c>
      <c r="C165" s="12"/>
      <c r="D165" s="121"/>
      <c r="E165" s="12"/>
      <c r="F165" s="14"/>
      <c r="G165" s="14"/>
      <c r="H165" s="14"/>
      <c r="I165" s="15"/>
      <c r="J165" s="16"/>
    </row>
    <row r="166" spans="1:10" s="17" customFormat="1" ht="12">
      <c r="A166" s="18"/>
      <c r="B166" s="16" t="s">
        <v>36</v>
      </c>
      <c r="C166" s="12" t="s">
        <v>51</v>
      </c>
      <c r="D166" s="121" t="s">
        <v>169</v>
      </c>
      <c r="E166" s="12" t="s">
        <v>52</v>
      </c>
      <c r="F166" s="14">
        <v>9.6925</v>
      </c>
      <c r="G166" s="14">
        <f>F166*1.25</f>
        <v>12.115625000000001</v>
      </c>
      <c r="H166" s="22" t="e">
        <f>D166*1.15*(1+$H$3)*G166</f>
        <v>#VALUE!</v>
      </c>
      <c r="I166" s="23" t="e">
        <f>H166*$I$3</f>
        <v>#VALUE!</v>
      </c>
      <c r="J166" s="24" t="e">
        <f>I166*1.25</f>
        <v>#VALUE!</v>
      </c>
    </row>
    <row r="167" spans="1:10" s="17" customFormat="1" ht="12">
      <c r="A167" s="18"/>
      <c r="B167" s="20" t="s">
        <v>38</v>
      </c>
      <c r="C167" s="12" t="s">
        <v>39</v>
      </c>
      <c r="D167" s="121" t="s">
        <v>170</v>
      </c>
      <c r="E167" s="12" t="s">
        <v>31</v>
      </c>
      <c r="F167" s="14">
        <v>10.36875</v>
      </c>
      <c r="G167" s="14">
        <f>F167*1.25</f>
        <v>12.9609375</v>
      </c>
      <c r="H167" s="22" t="e">
        <f>D167*1.15*(1+$H$3)*G167</f>
        <v>#VALUE!</v>
      </c>
      <c r="I167" s="23" t="e">
        <f>H167*$I$3</f>
        <v>#VALUE!</v>
      </c>
      <c r="J167" s="24" t="e">
        <f>I167*1.25</f>
        <v>#VALUE!</v>
      </c>
    </row>
    <row r="168" spans="1:10" s="17" customFormat="1" ht="12">
      <c r="A168" s="28"/>
      <c r="B168" s="29" t="s">
        <v>40</v>
      </c>
      <c r="C168" s="30" t="s">
        <v>39</v>
      </c>
      <c r="D168" s="125" t="s">
        <v>171</v>
      </c>
      <c r="E168" s="30" t="s">
        <v>31</v>
      </c>
      <c r="F168" s="32">
        <v>10.36875</v>
      </c>
      <c r="G168" s="32">
        <f>F168*1.25</f>
        <v>12.9609375</v>
      </c>
      <c r="H168" s="33">
        <f>D168*1.15*(1+$H$3)*G168</f>
        <v>1320232.2</v>
      </c>
      <c r="I168" s="34">
        <f>H168*$I$3</f>
        <v>6784673.2758</v>
      </c>
      <c r="J168" s="35">
        <f>I168*1.25</f>
        <v>8480841.59475</v>
      </c>
    </row>
    <row r="169" spans="1:10" s="17" customFormat="1" ht="12">
      <c r="A169" s="18" t="s">
        <v>250</v>
      </c>
      <c r="B169" s="19" t="s">
        <v>104</v>
      </c>
      <c r="C169" s="12"/>
      <c r="D169" s="121"/>
      <c r="E169" s="12"/>
      <c r="F169" s="14"/>
      <c r="G169" s="14"/>
      <c r="H169" s="14"/>
      <c r="I169" s="15"/>
      <c r="J169" s="16"/>
    </row>
    <row r="170" spans="1:10" s="17" customFormat="1" ht="12">
      <c r="A170" s="18"/>
      <c r="B170" s="20" t="s">
        <v>138</v>
      </c>
      <c r="C170" s="12"/>
      <c r="D170" s="121"/>
      <c r="E170" s="12"/>
      <c r="F170" s="14"/>
      <c r="G170" s="14"/>
      <c r="H170" s="14"/>
      <c r="I170" s="15"/>
      <c r="J170" s="16"/>
    </row>
    <row r="171" spans="1:10" s="17" customFormat="1" ht="12">
      <c r="A171" s="18"/>
      <c r="B171" s="16" t="s">
        <v>36</v>
      </c>
      <c r="C171" s="12" t="s">
        <v>51</v>
      </c>
      <c r="D171" s="121">
        <f>8.12*1.2</f>
        <v>9.743999999999998</v>
      </c>
      <c r="E171" s="12" t="s">
        <v>52</v>
      </c>
      <c r="F171" s="14">
        <v>9.6925</v>
      </c>
      <c r="G171" s="14">
        <f>F171*1.25</f>
        <v>12.115625000000001</v>
      </c>
      <c r="H171" s="22">
        <f>D171*1.15*(1+$H$3)*G171</f>
        <v>271.525695</v>
      </c>
      <c r="I171" s="23">
        <f>H171*$I$3</f>
        <v>1395.370546605</v>
      </c>
      <c r="J171" s="24">
        <f>I171*1.25</f>
        <v>1744.21318325625</v>
      </c>
    </row>
    <row r="172" spans="1:10" s="17" customFormat="1" ht="12">
      <c r="A172" s="18"/>
      <c r="B172" s="20" t="s">
        <v>38</v>
      </c>
      <c r="C172" s="12" t="s">
        <v>39</v>
      </c>
      <c r="D172" s="121">
        <f>9*1.2</f>
        <v>10.799999999999999</v>
      </c>
      <c r="E172" s="12" t="s">
        <v>31</v>
      </c>
      <c r="F172" s="14">
        <v>10.36875</v>
      </c>
      <c r="G172" s="14">
        <f>F172*1.25</f>
        <v>12.9609375</v>
      </c>
      <c r="H172" s="22">
        <f>D172*1.15*(1+$H$3)*G172</f>
        <v>321.9496874999999</v>
      </c>
      <c r="I172" s="23">
        <f>H172*$I$3</f>
        <v>1654.4994440624996</v>
      </c>
      <c r="J172" s="24">
        <f>I172*1.25</f>
        <v>2068.1243050781245</v>
      </c>
    </row>
    <row r="173" spans="1:10" s="17" customFormat="1" ht="12">
      <c r="A173" s="18"/>
      <c r="B173" s="20" t="s">
        <v>40</v>
      </c>
      <c r="C173" s="12" t="s">
        <v>39</v>
      </c>
      <c r="D173" s="121">
        <f>11.4*1.2</f>
        <v>13.68</v>
      </c>
      <c r="E173" s="12" t="s">
        <v>31</v>
      </c>
      <c r="F173" s="14">
        <v>10.36875</v>
      </c>
      <c r="G173" s="14">
        <f>F173*1.25</f>
        <v>12.9609375</v>
      </c>
      <c r="H173" s="22">
        <f>D173*1.15*(1+$H$3)*G173</f>
        <v>407.8029375</v>
      </c>
      <c r="I173" s="23">
        <f>H173*$I$3</f>
        <v>2095.6992958125</v>
      </c>
      <c r="J173" s="24">
        <f>I173*1.25</f>
        <v>2619.6241197656254</v>
      </c>
    </row>
    <row r="174" spans="1:10" s="17" customFormat="1" ht="12">
      <c r="A174" s="18" t="s">
        <v>251</v>
      </c>
      <c r="B174" s="19" t="s">
        <v>105</v>
      </c>
      <c r="C174" s="12"/>
      <c r="D174" s="121"/>
      <c r="E174" s="12"/>
      <c r="F174" s="14"/>
      <c r="G174" s="14"/>
      <c r="H174" s="14"/>
      <c r="I174" s="15"/>
      <c r="J174" s="16"/>
    </row>
    <row r="175" spans="1:10" s="17" customFormat="1" ht="12">
      <c r="A175" s="18"/>
      <c r="B175" s="16" t="s">
        <v>36</v>
      </c>
      <c r="C175" s="12" t="s">
        <v>51</v>
      </c>
      <c r="D175" s="121" t="s">
        <v>166</v>
      </c>
      <c r="E175" s="12" t="s">
        <v>52</v>
      </c>
      <c r="F175" s="14">
        <v>9.6925</v>
      </c>
      <c r="G175" s="14">
        <f>F175*1.25</f>
        <v>12.115625000000001</v>
      </c>
      <c r="H175" s="22">
        <f>D175*1.15*(1+$H$3)*G175</f>
        <v>1236662.4403125</v>
      </c>
      <c r="I175" s="23">
        <f>H175*$I$3</f>
        <v>6355208.280765939</v>
      </c>
      <c r="J175" s="24">
        <f>I175*1.25</f>
        <v>7944010.350957423</v>
      </c>
    </row>
    <row r="176" spans="1:10" s="17" customFormat="1" ht="12">
      <c r="A176" s="18"/>
      <c r="B176" s="20" t="s">
        <v>38</v>
      </c>
      <c r="C176" s="12" t="s">
        <v>39</v>
      </c>
      <c r="D176" s="121" t="s">
        <v>167</v>
      </c>
      <c r="E176" s="12" t="s">
        <v>31</v>
      </c>
      <c r="F176" s="14">
        <v>10.36875</v>
      </c>
      <c r="G176" s="14">
        <f>F176*1.25</f>
        <v>12.9609375</v>
      </c>
      <c r="H176" s="22">
        <f>D176*1.15*(1+$H$3)*G176</f>
        <v>1035336.5367187499</v>
      </c>
      <c r="I176" s="23">
        <f>H176*$I$3</f>
        <v>5320594.462197656</v>
      </c>
      <c r="J176" s="24">
        <f>I176*1.25</f>
        <v>6650743.077747069</v>
      </c>
    </row>
    <row r="177" spans="1:10" s="17" customFormat="1" ht="12">
      <c r="A177" s="28"/>
      <c r="B177" s="29" t="s">
        <v>40</v>
      </c>
      <c r="C177" s="30" t="s">
        <v>39</v>
      </c>
      <c r="D177" s="125" t="s">
        <v>168</v>
      </c>
      <c r="E177" s="30" t="s">
        <v>31</v>
      </c>
      <c r="F177" s="32">
        <v>10.36875</v>
      </c>
      <c r="G177" s="32">
        <f>F177*1.25</f>
        <v>12.9609375</v>
      </c>
      <c r="H177" s="33">
        <f>D177*1.15*(1+$H$3)*G177</f>
        <v>384700.06640624994</v>
      </c>
      <c r="I177" s="34">
        <f>H177*$I$3</f>
        <v>1976973.6412617185</v>
      </c>
      <c r="J177" s="35">
        <f>I177*1.25</f>
        <v>2471217.051577148</v>
      </c>
    </row>
    <row r="178" spans="1:10" s="17" customFormat="1" ht="12">
      <c r="A178" s="18" t="s">
        <v>252</v>
      </c>
      <c r="B178" s="19" t="s">
        <v>106</v>
      </c>
      <c r="C178" s="12"/>
      <c r="D178" s="121"/>
      <c r="E178" s="12"/>
      <c r="F178" s="14"/>
      <c r="G178" s="14"/>
      <c r="H178" s="14"/>
      <c r="I178" s="15"/>
      <c r="J178" s="16"/>
    </row>
    <row r="179" spans="1:10" s="17" customFormat="1" ht="12">
      <c r="A179" s="18"/>
      <c r="B179" s="20" t="s">
        <v>85</v>
      </c>
      <c r="C179" s="12"/>
      <c r="D179" s="121"/>
      <c r="E179" s="12"/>
      <c r="F179" s="14"/>
      <c r="G179" s="14"/>
      <c r="H179" s="14"/>
      <c r="I179" s="15"/>
      <c r="J179" s="16"/>
    </row>
    <row r="180" spans="1:10" s="17" customFormat="1" ht="12">
      <c r="A180" s="18"/>
      <c r="B180" s="16" t="s">
        <v>36</v>
      </c>
      <c r="C180" s="12" t="s">
        <v>107</v>
      </c>
      <c r="D180" s="121">
        <f>6.43*1.2</f>
        <v>7.715999999999999</v>
      </c>
      <c r="E180" s="12" t="s">
        <v>52</v>
      </c>
      <c r="F180" s="14">
        <v>9.6925</v>
      </c>
      <c r="G180" s="14">
        <f>F180*1.25</f>
        <v>12.115625000000001</v>
      </c>
      <c r="H180" s="22">
        <f>D180*1.15*(1+$H$3)*G180</f>
        <v>215.01357374999998</v>
      </c>
      <c r="I180" s="23">
        <f>H180*$I$3</f>
        <v>1104.95475550125</v>
      </c>
      <c r="J180" s="24">
        <f>I180*1.25</f>
        <v>1381.1934443765626</v>
      </c>
    </row>
    <row r="181" spans="1:10" s="17" customFormat="1" ht="12">
      <c r="A181" s="18"/>
      <c r="B181" s="20" t="s">
        <v>38</v>
      </c>
      <c r="C181" s="12" t="s">
        <v>39</v>
      </c>
      <c r="D181" s="121">
        <f>8.41*1.2</f>
        <v>10.092</v>
      </c>
      <c r="E181" s="12" t="s">
        <v>31</v>
      </c>
      <c r="F181" s="14">
        <v>10.36875</v>
      </c>
      <c r="G181" s="14">
        <f>F181*1.25</f>
        <v>12.9609375</v>
      </c>
      <c r="H181" s="22">
        <f>D181*1.15*(1+$H$3)*G181</f>
        <v>300.844096875</v>
      </c>
      <c r="I181" s="23">
        <f>H181*$I$3</f>
        <v>1546.037813840625</v>
      </c>
      <c r="J181" s="24">
        <f>I181*1.25</f>
        <v>1932.5472673007812</v>
      </c>
    </row>
    <row r="182" spans="1:10" s="17" customFormat="1" ht="12">
      <c r="A182" s="18"/>
      <c r="B182" s="20" t="s">
        <v>40</v>
      </c>
      <c r="C182" s="12" t="s">
        <v>39</v>
      </c>
      <c r="D182" s="121">
        <f>11.03*1.2</f>
        <v>13.235999999999999</v>
      </c>
      <c r="E182" s="12" t="s">
        <v>31</v>
      </c>
      <c r="F182" s="14">
        <v>10.36875</v>
      </c>
      <c r="G182" s="14">
        <f>F182*1.25</f>
        <v>12.9609375</v>
      </c>
      <c r="H182" s="22">
        <f>D182*1.15*(1+$H$3)*G182</f>
        <v>394.56722812499993</v>
      </c>
      <c r="I182" s="23">
        <f>H182*$I$3</f>
        <v>2027.6809853343748</v>
      </c>
      <c r="J182" s="24">
        <f>I182*1.25</f>
        <v>2534.6012316679685</v>
      </c>
    </row>
    <row r="183" spans="1:10" s="17" customFormat="1" ht="12">
      <c r="A183" s="18" t="s">
        <v>253</v>
      </c>
      <c r="B183" s="19" t="s">
        <v>108</v>
      </c>
      <c r="C183" s="12"/>
      <c r="D183" s="121"/>
      <c r="E183" s="12"/>
      <c r="F183" s="14"/>
      <c r="G183" s="14"/>
      <c r="H183" s="14"/>
      <c r="I183" s="15"/>
      <c r="J183" s="16"/>
    </row>
    <row r="184" spans="1:10" s="17" customFormat="1" ht="12">
      <c r="A184" s="18"/>
      <c r="B184" s="16" t="s">
        <v>36</v>
      </c>
      <c r="C184" s="12" t="s">
        <v>107</v>
      </c>
      <c r="D184" s="121" t="s">
        <v>156</v>
      </c>
      <c r="E184" s="12" t="s">
        <v>52</v>
      </c>
      <c r="F184" s="14">
        <v>9.6925</v>
      </c>
      <c r="G184" s="14">
        <f aca="true" t="shared" si="0" ref="G184:G190">F184*1.25</f>
        <v>12.115625000000001</v>
      </c>
      <c r="H184" s="22">
        <f aca="true" t="shared" si="1" ref="H184:H190">D184*1.15*(1+$H$3)*G184</f>
        <v>1212084.6834375001</v>
      </c>
      <c r="I184" s="23">
        <f aca="true" t="shared" si="2" ref="I184:I190">H184*$I$3</f>
        <v>6228903.188185314</v>
      </c>
      <c r="J184" s="24">
        <f aca="true" t="shared" si="3" ref="J184:J190">I184*1.25</f>
        <v>7786128.985231642</v>
      </c>
    </row>
    <row r="185" spans="1:10" s="17" customFormat="1" ht="12">
      <c r="A185" s="18"/>
      <c r="B185" s="20" t="s">
        <v>38</v>
      </c>
      <c r="C185" s="12" t="s">
        <v>39</v>
      </c>
      <c r="D185" s="121" t="s">
        <v>157</v>
      </c>
      <c r="E185" s="12" t="s">
        <v>31</v>
      </c>
      <c r="F185" s="14">
        <v>10.36875</v>
      </c>
      <c r="G185" s="14">
        <f t="shared" si="0"/>
        <v>12.9609375</v>
      </c>
      <c r="H185" s="22">
        <f t="shared" si="1"/>
        <v>1330158.98203125</v>
      </c>
      <c r="I185" s="23">
        <f t="shared" si="2"/>
        <v>6835687.0086585935</v>
      </c>
      <c r="J185" s="24">
        <f t="shared" si="3"/>
        <v>8544608.760823242</v>
      </c>
    </row>
    <row r="186" spans="1:10" s="17" customFormat="1" ht="12">
      <c r="A186" s="18"/>
      <c r="B186" s="20" t="s">
        <v>40</v>
      </c>
      <c r="C186" s="12" t="s">
        <v>39</v>
      </c>
      <c r="D186" s="121" t="s">
        <v>158</v>
      </c>
      <c r="E186" s="12" t="s">
        <v>31</v>
      </c>
      <c r="F186" s="14">
        <v>10.36875</v>
      </c>
      <c r="G186" s="14">
        <f t="shared" si="0"/>
        <v>12.9609375</v>
      </c>
      <c r="H186" s="22">
        <f t="shared" si="1"/>
        <v>1396426.9593749999</v>
      </c>
      <c r="I186" s="23">
        <f t="shared" si="2"/>
        <v>7176238.144228125</v>
      </c>
      <c r="J186" s="24">
        <f t="shared" si="3"/>
        <v>8970297.680285156</v>
      </c>
    </row>
    <row r="187" spans="1:10" s="17" customFormat="1" ht="12">
      <c r="A187" s="18" t="s">
        <v>254</v>
      </c>
      <c r="B187" s="19" t="s">
        <v>109</v>
      </c>
      <c r="C187" s="12"/>
      <c r="D187" s="121"/>
      <c r="E187" s="12"/>
      <c r="F187" s="14">
        <v>0</v>
      </c>
      <c r="G187" s="14">
        <f t="shared" si="0"/>
        <v>0</v>
      </c>
      <c r="H187" s="14">
        <f t="shared" si="1"/>
        <v>0</v>
      </c>
      <c r="I187" s="15">
        <f t="shared" si="2"/>
        <v>0</v>
      </c>
      <c r="J187" s="16">
        <f t="shared" si="3"/>
        <v>0</v>
      </c>
    </row>
    <row r="188" spans="1:10" s="17" customFormat="1" ht="12">
      <c r="A188" s="18"/>
      <c r="B188" s="16" t="s">
        <v>36</v>
      </c>
      <c r="C188" s="12" t="s">
        <v>107</v>
      </c>
      <c r="D188" s="121" t="s">
        <v>153</v>
      </c>
      <c r="E188" s="12" t="s">
        <v>52</v>
      </c>
      <c r="F188" s="14">
        <v>9.6925</v>
      </c>
      <c r="G188" s="14">
        <f t="shared" si="0"/>
        <v>12.115625000000001</v>
      </c>
      <c r="H188" s="22">
        <f t="shared" si="1"/>
        <v>1180679.7718749999</v>
      </c>
      <c r="I188" s="23">
        <f t="shared" si="2"/>
        <v>6067513.347665625</v>
      </c>
      <c r="J188" s="24">
        <f t="shared" si="3"/>
        <v>7584391.68458203</v>
      </c>
    </row>
    <row r="189" spans="1:10" s="17" customFormat="1" ht="12">
      <c r="A189" s="18"/>
      <c r="B189" s="20" t="s">
        <v>38</v>
      </c>
      <c r="C189" s="12" t="s">
        <v>39</v>
      </c>
      <c r="D189" s="121" t="s">
        <v>154</v>
      </c>
      <c r="E189" s="12" t="s">
        <v>31</v>
      </c>
      <c r="F189" s="14">
        <v>10.36875</v>
      </c>
      <c r="G189" s="14">
        <f t="shared" si="0"/>
        <v>12.9609375</v>
      </c>
      <c r="H189" s="22">
        <f t="shared" si="1"/>
        <v>1326611.5734374998</v>
      </c>
      <c r="I189" s="23">
        <f t="shared" si="2"/>
        <v>6817456.875895312</v>
      </c>
      <c r="J189" s="24">
        <f t="shared" si="3"/>
        <v>8521821.09486914</v>
      </c>
    </row>
    <row r="190" spans="1:10" s="17" customFormat="1" ht="12">
      <c r="A190" s="28"/>
      <c r="B190" s="29" t="s">
        <v>40</v>
      </c>
      <c r="C190" s="30" t="s">
        <v>39</v>
      </c>
      <c r="D190" s="125" t="s">
        <v>155</v>
      </c>
      <c r="E190" s="30" t="s">
        <v>31</v>
      </c>
      <c r="F190" s="32">
        <v>10.36875</v>
      </c>
      <c r="G190" s="32">
        <f t="shared" si="0"/>
        <v>12.9609375</v>
      </c>
      <c r="H190" s="33">
        <f t="shared" si="1"/>
        <v>720422.0460937499</v>
      </c>
      <c r="I190" s="34">
        <f t="shared" si="2"/>
        <v>3702248.894875781</v>
      </c>
      <c r="J190" s="35">
        <f t="shared" si="3"/>
        <v>4627811.118594727</v>
      </c>
    </row>
    <row r="191" spans="1:10" s="17" customFormat="1" ht="12">
      <c r="A191" s="18" t="s">
        <v>255</v>
      </c>
      <c r="B191" s="19" t="s">
        <v>106</v>
      </c>
      <c r="C191" s="12"/>
      <c r="D191" s="121"/>
      <c r="E191" s="12"/>
      <c r="F191" s="14"/>
      <c r="G191" s="14"/>
      <c r="H191" s="14"/>
      <c r="I191" s="15"/>
      <c r="J191" s="16"/>
    </row>
    <row r="192" spans="1:10" s="17" customFormat="1" ht="12">
      <c r="A192" s="18"/>
      <c r="B192" s="20" t="s">
        <v>133</v>
      </c>
      <c r="C192" s="12"/>
      <c r="D192" s="121"/>
      <c r="E192" s="12"/>
      <c r="F192" s="14"/>
      <c r="G192" s="14"/>
      <c r="H192" s="14"/>
      <c r="I192" s="15"/>
      <c r="J192" s="16"/>
    </row>
    <row r="193" spans="1:10" s="17" customFormat="1" ht="12">
      <c r="A193" s="18"/>
      <c r="B193" s="16" t="s">
        <v>36</v>
      </c>
      <c r="C193" s="12" t="s">
        <v>107</v>
      </c>
      <c r="D193" s="121">
        <f>5.43*1.2</f>
        <v>6.515999999999999</v>
      </c>
      <c r="E193" s="12" t="s">
        <v>52</v>
      </c>
      <c r="F193" s="14">
        <v>9.6925</v>
      </c>
      <c r="G193" s="14">
        <f>F193*1.25</f>
        <v>12.115625000000001</v>
      </c>
      <c r="H193" s="22">
        <f>D193*1.15*(1+$H$3)*G193</f>
        <v>181.57444875</v>
      </c>
      <c r="I193" s="23">
        <f>H193*$I$3</f>
        <v>933.11109212625</v>
      </c>
      <c r="J193" s="24">
        <f>I193*1.25</f>
        <v>1166.3888651578125</v>
      </c>
    </row>
    <row r="194" spans="1:10" s="17" customFormat="1" ht="12">
      <c r="A194" s="18"/>
      <c r="B194" s="20" t="s">
        <v>38</v>
      </c>
      <c r="C194" s="12" t="s">
        <v>39</v>
      </c>
      <c r="D194" s="121">
        <f>7.12*1.2</f>
        <v>8.544</v>
      </c>
      <c r="E194" s="12" t="s">
        <v>31</v>
      </c>
      <c r="F194" s="14">
        <v>10.36875</v>
      </c>
      <c r="G194" s="14">
        <f>F194*1.25</f>
        <v>12.9609375</v>
      </c>
      <c r="H194" s="22">
        <f>D194*1.15*(1+$H$3)*G194</f>
        <v>254.69797499999999</v>
      </c>
      <c r="I194" s="23">
        <f>H194*$I$3</f>
        <v>1308.892893525</v>
      </c>
      <c r="J194" s="24">
        <f>I194*1.25</f>
        <v>1636.1161169062502</v>
      </c>
    </row>
    <row r="195" spans="1:10" s="17" customFormat="1" ht="12">
      <c r="A195" s="18"/>
      <c r="B195" s="20" t="s">
        <v>40</v>
      </c>
      <c r="C195" s="12" t="s">
        <v>39</v>
      </c>
      <c r="D195" s="121">
        <f>9.43*1.2</f>
        <v>11.315999999999999</v>
      </c>
      <c r="E195" s="12" t="s">
        <v>31</v>
      </c>
      <c r="F195" s="14">
        <v>10.36875</v>
      </c>
      <c r="G195" s="14">
        <f>F195*1.25</f>
        <v>12.9609375</v>
      </c>
      <c r="H195" s="22">
        <f>D195*1.15*(1+$H$3)*G195</f>
        <v>337.3317281249999</v>
      </c>
      <c r="I195" s="23">
        <f>H195*$I$3</f>
        <v>1733.5477508343747</v>
      </c>
      <c r="J195" s="24">
        <f>I195*1.25</f>
        <v>2166.9346885429686</v>
      </c>
    </row>
    <row r="196" spans="1:10" s="17" customFormat="1" ht="12">
      <c r="A196" s="18" t="s">
        <v>256</v>
      </c>
      <c r="B196" s="19" t="s">
        <v>148</v>
      </c>
      <c r="C196" s="12"/>
      <c r="D196" s="121"/>
      <c r="E196" s="12"/>
      <c r="F196" s="14"/>
      <c r="G196" s="14"/>
      <c r="H196" s="14"/>
      <c r="I196" s="15"/>
      <c r="J196" s="16"/>
    </row>
    <row r="197" spans="1:10" s="17" customFormat="1" ht="12">
      <c r="A197" s="18"/>
      <c r="B197" s="16" t="s">
        <v>36</v>
      </c>
      <c r="C197" s="12" t="s">
        <v>107</v>
      </c>
      <c r="D197" s="121" t="s">
        <v>150</v>
      </c>
      <c r="E197" s="12" t="s">
        <v>52</v>
      </c>
      <c r="F197" s="14">
        <v>9.6925</v>
      </c>
      <c r="G197" s="14">
        <f>F197*1.25</f>
        <v>12.115625000000001</v>
      </c>
      <c r="H197" s="22">
        <f>D197*1.15*(1+$H$3)*G197</f>
        <v>1211220.839375</v>
      </c>
      <c r="I197" s="23">
        <f>H197*$I$3</f>
        <v>6224463.893548125</v>
      </c>
      <c r="J197" s="24">
        <f>I197*1.25</f>
        <v>7780579.866935156</v>
      </c>
    </row>
    <row r="198" spans="1:10" s="17" customFormat="1" ht="12">
      <c r="A198" s="18"/>
      <c r="B198" s="20" t="s">
        <v>38</v>
      </c>
      <c r="C198" s="12" t="s">
        <v>39</v>
      </c>
      <c r="D198" s="121" t="s">
        <v>151</v>
      </c>
      <c r="E198" s="12" t="s">
        <v>31</v>
      </c>
      <c r="F198" s="14">
        <v>10.36875</v>
      </c>
      <c r="G198" s="14">
        <f>F198*1.25</f>
        <v>12.9609375</v>
      </c>
      <c r="H198" s="22">
        <f>D198*1.15*(1+$H$3)*G198</f>
        <v>1012651.0078125</v>
      </c>
      <c r="I198" s="23">
        <f>H198*$I$3</f>
        <v>5204013.529148438</v>
      </c>
      <c r="J198" s="24">
        <f>I198*1.25</f>
        <v>6505016.911435547</v>
      </c>
    </row>
    <row r="199" spans="1:10" s="17" customFormat="1" ht="12">
      <c r="A199" s="18"/>
      <c r="B199" s="20" t="s">
        <v>40</v>
      </c>
      <c r="C199" s="12" t="s">
        <v>39</v>
      </c>
      <c r="D199" s="121" t="s">
        <v>152</v>
      </c>
      <c r="E199" s="12" t="s">
        <v>31</v>
      </c>
      <c r="F199" s="14">
        <v>10.36875</v>
      </c>
      <c r="G199" s="14">
        <f>F199*1.25</f>
        <v>12.9609375</v>
      </c>
      <c r="H199" s="22">
        <f>D199*1.15*(1+$H$3)*G199</f>
        <v>752259.2929687499</v>
      </c>
      <c r="I199" s="23">
        <f>H199*$I$3</f>
        <v>3865860.5065664058</v>
      </c>
      <c r="J199" s="24">
        <f>I199*1.25</f>
        <v>4832325.633208008</v>
      </c>
    </row>
    <row r="200" spans="1:10" s="17" customFormat="1" ht="12">
      <c r="A200" s="18" t="s">
        <v>257</v>
      </c>
      <c r="B200" s="19" t="s">
        <v>109</v>
      </c>
      <c r="C200" s="12"/>
      <c r="D200" s="121"/>
      <c r="E200" s="12"/>
      <c r="F200" s="14"/>
      <c r="G200" s="14"/>
      <c r="H200" s="14"/>
      <c r="I200" s="15"/>
      <c r="J200" s="16"/>
    </row>
    <row r="201" spans="1:10" s="17" customFormat="1" ht="12">
      <c r="A201" s="18"/>
      <c r="B201" s="16" t="s">
        <v>36</v>
      </c>
      <c r="C201" s="12" t="s">
        <v>107</v>
      </c>
      <c r="D201" s="121" t="s">
        <v>153</v>
      </c>
      <c r="E201" s="12" t="s">
        <v>52</v>
      </c>
      <c r="F201" s="14">
        <v>9.6925</v>
      </c>
      <c r="G201" s="14">
        <f>F201*1.25</f>
        <v>12.115625000000001</v>
      </c>
      <c r="H201" s="22">
        <f>D201*1.15*(1+$H$3)*G201</f>
        <v>1180679.7718749999</v>
      </c>
      <c r="I201" s="23">
        <f>H201*$I$3</f>
        <v>6067513.347665625</v>
      </c>
      <c r="J201" s="24">
        <f>I201*1.25</f>
        <v>7584391.68458203</v>
      </c>
    </row>
    <row r="202" spans="1:10" s="17" customFormat="1" ht="12">
      <c r="A202" s="18"/>
      <c r="B202" s="20" t="s">
        <v>38</v>
      </c>
      <c r="C202" s="12" t="s">
        <v>39</v>
      </c>
      <c r="D202" s="121" t="s">
        <v>154</v>
      </c>
      <c r="E202" s="12" t="s">
        <v>31</v>
      </c>
      <c r="F202" s="14">
        <v>10.36875</v>
      </c>
      <c r="G202" s="14">
        <f>F202*1.25</f>
        <v>12.9609375</v>
      </c>
      <c r="H202" s="22">
        <f>D202*1.15*(1+$H$3)*G202</f>
        <v>1326611.5734374998</v>
      </c>
      <c r="I202" s="23">
        <f>H202*$I$3</f>
        <v>6817456.875895312</v>
      </c>
      <c r="J202" s="24">
        <f>I202*1.25</f>
        <v>8521821.09486914</v>
      </c>
    </row>
    <row r="203" spans="1:10" s="17" customFormat="1" ht="12">
      <c r="A203" s="28"/>
      <c r="B203" s="29" t="s">
        <v>40</v>
      </c>
      <c r="C203" s="30" t="s">
        <v>39</v>
      </c>
      <c r="D203" s="125" t="s">
        <v>155</v>
      </c>
      <c r="E203" s="30" t="s">
        <v>31</v>
      </c>
      <c r="F203" s="32">
        <v>10.36875</v>
      </c>
      <c r="G203" s="32">
        <f>F203*1.25</f>
        <v>12.9609375</v>
      </c>
      <c r="H203" s="33">
        <f>D203*1.15*(1+$H$3)*G203</f>
        <v>720422.0460937499</v>
      </c>
      <c r="I203" s="34">
        <f>H203*$I$3</f>
        <v>3702248.894875781</v>
      </c>
      <c r="J203" s="35">
        <f>I203*1.25</f>
        <v>4627811.118594727</v>
      </c>
    </row>
    <row r="204" spans="1:10" s="17" customFormat="1" ht="12">
      <c r="A204" s="18" t="s">
        <v>258</v>
      </c>
      <c r="B204" s="19" t="s">
        <v>143</v>
      </c>
      <c r="C204" s="12"/>
      <c r="D204" s="121"/>
      <c r="E204" s="12"/>
      <c r="F204" s="14"/>
      <c r="G204" s="14"/>
      <c r="H204" s="14"/>
      <c r="I204" s="15"/>
      <c r="J204" s="16"/>
    </row>
    <row r="205" spans="1:10" s="17" customFormat="1" ht="12">
      <c r="A205" s="18"/>
      <c r="B205" s="20" t="s">
        <v>85</v>
      </c>
      <c r="C205" s="12"/>
      <c r="D205" s="121"/>
      <c r="E205" s="12"/>
      <c r="F205" s="14"/>
      <c r="G205" s="14"/>
      <c r="H205" s="14"/>
      <c r="I205" s="15"/>
      <c r="J205" s="16"/>
    </row>
    <row r="206" spans="1:10" s="17" customFormat="1" ht="12">
      <c r="A206" s="18"/>
      <c r="B206" s="16" t="s">
        <v>36</v>
      </c>
      <c r="C206" s="12" t="s">
        <v>107</v>
      </c>
      <c r="D206" s="121">
        <f>6.43*1.3*1.2</f>
        <v>10.0308</v>
      </c>
      <c r="E206" s="12" t="s">
        <v>52</v>
      </c>
      <c r="F206" s="14">
        <v>9.6925</v>
      </c>
      <c r="G206" s="14">
        <f>F206*1.25</f>
        <v>12.115625000000001</v>
      </c>
      <c r="H206" s="22">
        <f>D206*1.15*(1+$H$3)*G206</f>
        <v>279.51764587499997</v>
      </c>
      <c r="I206" s="23">
        <f>H206*$I$3</f>
        <v>1436.4411821516248</v>
      </c>
      <c r="J206" s="24">
        <f>I206*1.25</f>
        <v>1795.551477689531</v>
      </c>
    </row>
    <row r="207" spans="1:10" s="17" customFormat="1" ht="12">
      <c r="A207" s="18"/>
      <c r="B207" s="20" t="s">
        <v>38</v>
      </c>
      <c r="C207" s="12" t="s">
        <v>39</v>
      </c>
      <c r="D207" s="121">
        <f>8.41*1.3*1.2</f>
        <v>13.1196</v>
      </c>
      <c r="E207" s="12" t="s">
        <v>31</v>
      </c>
      <c r="F207" s="14">
        <v>10.36875</v>
      </c>
      <c r="G207" s="14">
        <f>F207*1.25</f>
        <v>12.9609375</v>
      </c>
      <c r="H207" s="22">
        <f>D207*1.15*(1+$H$3)*G207</f>
        <v>391.0973259375</v>
      </c>
      <c r="I207" s="23">
        <f>H207*$I$3</f>
        <v>2009.8491579928125</v>
      </c>
      <c r="J207" s="24">
        <f>I207*1.25</f>
        <v>2512.3114474910158</v>
      </c>
    </row>
    <row r="208" spans="1:10" s="17" customFormat="1" ht="12.75" thickBot="1">
      <c r="A208" s="36"/>
      <c r="B208" s="37" t="s">
        <v>40</v>
      </c>
      <c r="C208" s="38" t="s">
        <v>39</v>
      </c>
      <c r="D208" s="126">
        <f>11.03*1.3*1.2</f>
        <v>17.2068</v>
      </c>
      <c r="E208" s="38" t="s">
        <v>31</v>
      </c>
      <c r="F208" s="40">
        <v>10.36875</v>
      </c>
      <c r="G208" s="40">
        <f>F208*1.25</f>
        <v>12.9609375</v>
      </c>
      <c r="H208" s="41">
        <f>D208*1.15*(1+$H$3)*G208</f>
        <v>512.9373965625</v>
      </c>
      <c r="I208" s="42">
        <f>H208*$I$3</f>
        <v>2635.9852809346876</v>
      </c>
      <c r="J208" s="43">
        <f>I208*1.25</f>
        <v>3294.9816011683597</v>
      </c>
    </row>
    <row r="209" spans="1:10" s="9" customFormat="1" ht="12.75" thickBot="1">
      <c r="A209" s="7" t="s">
        <v>20</v>
      </c>
      <c r="B209" s="8">
        <v>2</v>
      </c>
      <c r="C209" s="8">
        <v>3</v>
      </c>
      <c r="D209" s="8">
        <v>4</v>
      </c>
      <c r="E209" s="127">
        <v>5</v>
      </c>
      <c r="F209" s="8">
        <v>6</v>
      </c>
      <c r="G209" s="8">
        <v>6</v>
      </c>
      <c r="H209" s="8">
        <v>7</v>
      </c>
      <c r="I209" s="8">
        <v>4</v>
      </c>
      <c r="J209" s="7" t="s">
        <v>84</v>
      </c>
    </row>
    <row r="210" spans="1:10" s="17" customFormat="1" ht="12">
      <c r="A210" s="18" t="s">
        <v>259</v>
      </c>
      <c r="B210" s="19" t="s">
        <v>108</v>
      </c>
      <c r="C210" s="12"/>
      <c r="D210" s="12"/>
      <c r="E210" s="13"/>
      <c r="F210" s="14"/>
      <c r="G210" s="14"/>
      <c r="H210" s="14"/>
      <c r="I210" s="15"/>
      <c r="J210" s="16"/>
    </row>
    <row r="211" spans="1:10" s="17" customFormat="1" ht="12">
      <c r="A211" s="18"/>
      <c r="B211" s="16" t="s">
        <v>36</v>
      </c>
      <c r="C211" s="12" t="s">
        <v>107</v>
      </c>
      <c r="D211" s="12" t="s">
        <v>156</v>
      </c>
      <c r="E211" s="13" t="s">
        <v>52</v>
      </c>
      <c r="F211" s="14">
        <v>9.6925</v>
      </c>
      <c r="G211" s="14">
        <f>F211*1.25</f>
        <v>12.115625000000001</v>
      </c>
      <c r="H211" s="22">
        <f>D211*1.15*(1+$H$3)*G211</f>
        <v>1212084.6834375001</v>
      </c>
      <c r="I211" s="23">
        <f>H211*$I$3</f>
        <v>6228903.188185314</v>
      </c>
      <c r="J211" s="24">
        <f>I211*1.25</f>
        <v>7786128.985231642</v>
      </c>
    </row>
    <row r="212" spans="1:10" s="17" customFormat="1" ht="12">
      <c r="A212" s="18"/>
      <c r="B212" s="20" t="s">
        <v>38</v>
      </c>
      <c r="C212" s="12" t="s">
        <v>39</v>
      </c>
      <c r="D212" s="12" t="s">
        <v>157</v>
      </c>
      <c r="E212" s="13" t="s">
        <v>31</v>
      </c>
      <c r="F212" s="14">
        <v>10.36875</v>
      </c>
      <c r="G212" s="14">
        <f>F212*1.25</f>
        <v>12.9609375</v>
      </c>
      <c r="H212" s="22">
        <f>D212*1.15*(1+$H$3)*G212</f>
        <v>1330158.98203125</v>
      </c>
      <c r="I212" s="23">
        <f>H212*$I$3</f>
        <v>6835687.0086585935</v>
      </c>
      <c r="J212" s="24">
        <f>I212*1.25</f>
        <v>8544608.760823242</v>
      </c>
    </row>
    <row r="213" spans="1:10" s="17" customFormat="1" ht="12">
      <c r="A213" s="18"/>
      <c r="B213" s="20" t="s">
        <v>40</v>
      </c>
      <c r="C213" s="12" t="s">
        <v>39</v>
      </c>
      <c r="D213" s="12" t="s">
        <v>158</v>
      </c>
      <c r="E213" s="13" t="s">
        <v>31</v>
      </c>
      <c r="F213" s="14">
        <v>10.36875</v>
      </c>
      <c r="G213" s="14">
        <f>F213*1.25</f>
        <v>12.9609375</v>
      </c>
      <c r="H213" s="22">
        <f>D213*1.15*(1+$H$3)*G213</f>
        <v>1396426.9593749999</v>
      </c>
      <c r="I213" s="23">
        <f>H213*$I$3</f>
        <v>7176238.144228125</v>
      </c>
      <c r="J213" s="24">
        <f>I213*1.25</f>
        <v>8970297.680285156</v>
      </c>
    </row>
    <row r="214" spans="1:10" s="17" customFormat="1" ht="12">
      <c r="A214" s="18" t="s">
        <v>260</v>
      </c>
      <c r="B214" s="19" t="s">
        <v>109</v>
      </c>
      <c r="C214" s="12"/>
      <c r="D214" s="12"/>
      <c r="E214" s="13"/>
      <c r="F214" s="14"/>
      <c r="G214" s="14"/>
      <c r="H214" s="14"/>
      <c r="I214" s="15"/>
      <c r="J214" s="16"/>
    </row>
    <row r="215" spans="1:10" s="17" customFormat="1" ht="12">
      <c r="A215" s="18"/>
      <c r="B215" s="16" t="s">
        <v>36</v>
      </c>
      <c r="C215" s="12" t="s">
        <v>107</v>
      </c>
      <c r="D215" s="14">
        <f>1.16*1.3</f>
        <v>1.508</v>
      </c>
      <c r="E215" s="13" t="s">
        <v>52</v>
      </c>
      <c r="F215" s="14">
        <v>9.6925</v>
      </c>
      <c r="G215" s="14">
        <f>F215*1.25</f>
        <v>12.115625000000001</v>
      </c>
      <c r="H215" s="22">
        <f>D215*1.15*(1+$H$3)*G215</f>
        <v>42.021833750000006</v>
      </c>
      <c r="I215" s="23">
        <f>H215*$I$3</f>
        <v>215.95020364125003</v>
      </c>
      <c r="J215" s="24">
        <f>I215*1.25</f>
        <v>269.93775455156253</v>
      </c>
    </row>
    <row r="216" spans="1:10" s="17" customFormat="1" ht="12">
      <c r="A216" s="18"/>
      <c r="B216" s="20" t="s">
        <v>38</v>
      </c>
      <c r="C216" s="12" t="s">
        <v>39</v>
      </c>
      <c r="D216" s="14">
        <f>2.11*1.3</f>
        <v>2.743</v>
      </c>
      <c r="E216" s="13" t="s">
        <v>31</v>
      </c>
      <c r="F216" s="14">
        <v>10.36875</v>
      </c>
      <c r="G216" s="14">
        <f>F216*1.25</f>
        <v>12.9609375</v>
      </c>
      <c r="H216" s="22">
        <f>D216*1.15*(1+$H$3)*G216</f>
        <v>81.76925859375</v>
      </c>
      <c r="I216" s="23">
        <f>H216*$I$3</f>
        <v>420.2122199132813</v>
      </c>
      <c r="J216" s="24">
        <f>I216*1.25</f>
        <v>525.2652748916016</v>
      </c>
    </row>
    <row r="217" spans="1:10" s="17" customFormat="1" ht="12">
      <c r="A217" s="28"/>
      <c r="B217" s="29" t="s">
        <v>40</v>
      </c>
      <c r="C217" s="30" t="s">
        <v>39</v>
      </c>
      <c r="D217" s="32">
        <f>3.66*1.3</f>
        <v>4.758</v>
      </c>
      <c r="E217" s="31" t="s">
        <v>31</v>
      </c>
      <c r="F217" s="32">
        <v>10.36875</v>
      </c>
      <c r="G217" s="32">
        <f>F217*1.25</f>
        <v>12.9609375</v>
      </c>
      <c r="H217" s="33">
        <f>D217*1.15*(1+$H$3)*G217</f>
        <v>141.83672343749998</v>
      </c>
      <c r="I217" s="34">
        <f>H217*$I$3</f>
        <v>728.8989217453125</v>
      </c>
      <c r="J217" s="35">
        <f>I217*1.25</f>
        <v>911.1236521816406</v>
      </c>
    </row>
    <row r="218" spans="1:10" s="17" customFormat="1" ht="12">
      <c r="A218" s="18" t="s">
        <v>261</v>
      </c>
      <c r="B218" s="19" t="s">
        <v>143</v>
      </c>
      <c r="C218" s="12"/>
      <c r="D218" s="12"/>
      <c r="E218" s="13"/>
      <c r="F218" s="14"/>
      <c r="G218" s="14"/>
      <c r="H218" s="14"/>
      <c r="I218" s="15"/>
      <c r="J218" s="16"/>
    </row>
    <row r="219" spans="1:10" s="17" customFormat="1" ht="12">
      <c r="A219" s="18"/>
      <c r="B219" s="20" t="s">
        <v>133</v>
      </c>
      <c r="C219" s="12"/>
      <c r="D219" s="12"/>
      <c r="E219" s="13"/>
      <c r="F219" s="14"/>
      <c r="G219" s="14"/>
      <c r="H219" s="14"/>
      <c r="I219" s="15"/>
      <c r="J219" s="16"/>
    </row>
    <row r="220" spans="1:10" s="17" customFormat="1" ht="12">
      <c r="A220" s="18"/>
      <c r="B220" s="16" t="s">
        <v>36</v>
      </c>
      <c r="C220" s="12" t="s">
        <v>107</v>
      </c>
      <c r="D220" s="14">
        <f>5.43*1.3*1.2</f>
        <v>8.4708</v>
      </c>
      <c r="E220" s="13" t="s">
        <v>52</v>
      </c>
      <c r="F220" s="14">
        <v>9.6925</v>
      </c>
      <c r="G220" s="14">
        <f>F220*1.25</f>
        <v>12.115625000000001</v>
      </c>
      <c r="H220" s="22">
        <f>D220*1.15*(1+$H$3)*G220</f>
        <v>236.04678337500002</v>
      </c>
      <c r="I220" s="23">
        <f>H220*$I$3</f>
        <v>1213.0444197641252</v>
      </c>
      <c r="J220" s="24">
        <f>I220*1.25</f>
        <v>1516.3055247051566</v>
      </c>
    </row>
    <row r="221" spans="1:10" s="17" customFormat="1" ht="12">
      <c r="A221" s="18"/>
      <c r="B221" s="20" t="s">
        <v>38</v>
      </c>
      <c r="C221" s="12" t="s">
        <v>39</v>
      </c>
      <c r="D221" s="14">
        <f>7.12*1.3*1.2</f>
        <v>11.1072</v>
      </c>
      <c r="E221" s="13" t="s">
        <v>31</v>
      </c>
      <c r="F221" s="14">
        <v>10.36875</v>
      </c>
      <c r="G221" s="14">
        <f>F221*1.25</f>
        <v>12.9609375</v>
      </c>
      <c r="H221" s="22">
        <f>D221*1.15*(1+$H$3)*G221</f>
        <v>331.1073675</v>
      </c>
      <c r="I221" s="23">
        <f>H221*$I$3</f>
        <v>1701.5607615825002</v>
      </c>
      <c r="J221" s="24">
        <f>I221*1.25</f>
        <v>2126.950951978125</v>
      </c>
    </row>
    <row r="222" spans="1:10" s="17" customFormat="1" ht="12">
      <c r="A222" s="18"/>
      <c r="B222" s="20" t="s">
        <v>40</v>
      </c>
      <c r="C222" s="12" t="s">
        <v>39</v>
      </c>
      <c r="D222" s="14">
        <f>9.43*1.3*1.2</f>
        <v>14.710799999999999</v>
      </c>
      <c r="E222" s="13" t="s">
        <v>31</v>
      </c>
      <c r="F222" s="14">
        <v>10.36875</v>
      </c>
      <c r="G222" s="14">
        <f>F222*1.25</f>
        <v>12.9609375</v>
      </c>
      <c r="H222" s="22">
        <f>D222*1.15*(1+$H$3)*G222</f>
        <v>438.5312465624999</v>
      </c>
      <c r="I222" s="23">
        <f>H222*$I$3</f>
        <v>2253.612076084687</v>
      </c>
      <c r="J222" s="24">
        <f>I222*1.25</f>
        <v>2817.0150951058586</v>
      </c>
    </row>
    <row r="223" spans="1:10" s="17" customFormat="1" ht="12">
      <c r="A223" s="18" t="s">
        <v>262</v>
      </c>
      <c r="B223" s="19" t="s">
        <v>148</v>
      </c>
      <c r="C223" s="12"/>
      <c r="D223" s="12"/>
      <c r="E223" s="13"/>
      <c r="F223" s="14"/>
      <c r="G223" s="14"/>
      <c r="H223" s="14"/>
      <c r="I223" s="15"/>
      <c r="J223" s="16"/>
    </row>
    <row r="224" spans="1:10" s="17" customFormat="1" ht="12">
      <c r="A224" s="18"/>
      <c r="B224" s="16" t="s">
        <v>36</v>
      </c>
      <c r="C224" s="12" t="s">
        <v>107</v>
      </c>
      <c r="D224" s="12" t="s">
        <v>150</v>
      </c>
      <c r="E224" s="13" t="s">
        <v>52</v>
      </c>
      <c r="F224" s="14">
        <v>9.6925</v>
      </c>
      <c r="G224" s="14">
        <f>F224*1.25</f>
        <v>12.115625000000001</v>
      </c>
      <c r="H224" s="22">
        <f>D224*1.15*(1+$H$3)*G224</f>
        <v>1211220.839375</v>
      </c>
      <c r="I224" s="23">
        <f>H224*$I$3</f>
        <v>6224463.893548125</v>
      </c>
      <c r="J224" s="24">
        <f>I224*1.25</f>
        <v>7780579.866935156</v>
      </c>
    </row>
    <row r="225" spans="1:10" s="17" customFormat="1" ht="12">
      <c r="A225" s="18"/>
      <c r="B225" s="20" t="s">
        <v>38</v>
      </c>
      <c r="C225" s="12" t="s">
        <v>39</v>
      </c>
      <c r="D225" s="12" t="s">
        <v>151</v>
      </c>
      <c r="E225" s="13" t="s">
        <v>31</v>
      </c>
      <c r="F225" s="14">
        <v>10.36875</v>
      </c>
      <c r="G225" s="14">
        <f>F225*1.25</f>
        <v>12.9609375</v>
      </c>
      <c r="H225" s="22">
        <f>D225*1.15*(1+$H$3)*G225</f>
        <v>1012651.0078125</v>
      </c>
      <c r="I225" s="23">
        <f>H225*$I$3</f>
        <v>5204013.529148438</v>
      </c>
      <c r="J225" s="24">
        <f>I225*1.25</f>
        <v>6505016.911435547</v>
      </c>
    </row>
    <row r="226" spans="1:10" s="17" customFormat="1" ht="12">
      <c r="A226" s="18"/>
      <c r="B226" s="20" t="s">
        <v>40</v>
      </c>
      <c r="C226" s="12" t="s">
        <v>39</v>
      </c>
      <c r="D226" s="12" t="s">
        <v>152</v>
      </c>
      <c r="E226" s="13" t="s">
        <v>31</v>
      </c>
      <c r="F226" s="14">
        <v>10.36875</v>
      </c>
      <c r="G226" s="14">
        <f>F226*1.25</f>
        <v>12.9609375</v>
      </c>
      <c r="H226" s="22">
        <f>D226*1.15*(1+$H$3)*G226</f>
        <v>752259.2929687499</v>
      </c>
      <c r="I226" s="23">
        <f>H226*$I$3</f>
        <v>3865860.5065664058</v>
      </c>
      <c r="J226" s="24">
        <f>I226*1.25</f>
        <v>4832325.633208008</v>
      </c>
    </row>
    <row r="227" spans="1:10" s="17" customFormat="1" ht="12">
      <c r="A227" s="18" t="s">
        <v>263</v>
      </c>
      <c r="B227" s="19" t="s">
        <v>109</v>
      </c>
      <c r="C227" s="12"/>
      <c r="D227" s="12"/>
      <c r="E227" s="13"/>
      <c r="F227" s="14"/>
      <c r="G227" s="14"/>
      <c r="H227" s="14"/>
      <c r="I227" s="15"/>
      <c r="J227" s="16"/>
    </row>
    <row r="228" spans="1:10" s="17" customFormat="1" ht="12">
      <c r="A228" s="18"/>
      <c r="B228" s="16" t="s">
        <v>36</v>
      </c>
      <c r="C228" s="12" t="s">
        <v>107</v>
      </c>
      <c r="D228" s="14">
        <f>1.16*1.3</f>
        <v>1.508</v>
      </c>
      <c r="E228" s="13" t="s">
        <v>52</v>
      </c>
      <c r="F228" s="14">
        <v>9.6925</v>
      </c>
      <c r="G228" s="14">
        <f>F228*1.25</f>
        <v>12.115625000000001</v>
      </c>
      <c r="H228" s="22">
        <f>D228*1.15*(1+$H$3)*G228</f>
        <v>42.021833750000006</v>
      </c>
      <c r="I228" s="23">
        <f>H228*$I$3</f>
        <v>215.95020364125003</v>
      </c>
      <c r="J228" s="24">
        <f>I228*1.25</f>
        <v>269.93775455156253</v>
      </c>
    </row>
    <row r="229" spans="1:10" s="17" customFormat="1" ht="12">
      <c r="A229" s="18"/>
      <c r="B229" s="20" t="s">
        <v>38</v>
      </c>
      <c r="C229" s="12" t="s">
        <v>39</v>
      </c>
      <c r="D229" s="14">
        <f>2.11*1.3</f>
        <v>2.743</v>
      </c>
      <c r="E229" s="13" t="s">
        <v>31</v>
      </c>
      <c r="F229" s="14">
        <v>10.36875</v>
      </c>
      <c r="G229" s="14">
        <f>F229*1.25</f>
        <v>12.9609375</v>
      </c>
      <c r="H229" s="22">
        <f>D229*1.15*(1+$H$3)*G229</f>
        <v>81.76925859375</v>
      </c>
      <c r="I229" s="23">
        <f>H229*$I$3</f>
        <v>420.2122199132813</v>
      </c>
      <c r="J229" s="24">
        <f>I229*1.25</f>
        <v>525.2652748916016</v>
      </c>
    </row>
    <row r="230" spans="1:10" s="17" customFormat="1" ht="12">
      <c r="A230" s="28"/>
      <c r="B230" s="29" t="s">
        <v>40</v>
      </c>
      <c r="C230" s="30" t="s">
        <v>39</v>
      </c>
      <c r="D230" s="32">
        <f>3.66*1.3</f>
        <v>4.758</v>
      </c>
      <c r="E230" s="31" t="s">
        <v>31</v>
      </c>
      <c r="F230" s="32">
        <v>10.36875</v>
      </c>
      <c r="G230" s="32">
        <f>F230*1.25</f>
        <v>12.9609375</v>
      </c>
      <c r="H230" s="33">
        <f>D230*1.15*(1+$H$3)*G230</f>
        <v>141.83672343749998</v>
      </c>
      <c r="I230" s="34">
        <f>H230*$I$3</f>
        <v>728.8989217453125</v>
      </c>
      <c r="J230" s="35">
        <f>I230*1.25</f>
        <v>911.1236521816406</v>
      </c>
    </row>
    <row r="231" spans="1:10" ht="12">
      <c r="A231" s="44"/>
      <c r="B231" s="50" t="s">
        <v>34</v>
      </c>
      <c r="C231" s="46"/>
      <c r="D231" s="50"/>
      <c r="E231" s="47"/>
      <c r="F231" s="48"/>
      <c r="G231" s="48"/>
      <c r="H231" s="22"/>
      <c r="I231" s="57"/>
      <c r="J231" s="49"/>
    </row>
    <row r="232" spans="1:10" ht="12">
      <c r="A232" s="44" t="s">
        <v>264</v>
      </c>
      <c r="B232" s="26" t="s">
        <v>32</v>
      </c>
      <c r="C232" s="46"/>
      <c r="D232" s="50"/>
      <c r="E232" s="47"/>
      <c r="F232" s="48"/>
      <c r="G232" s="48"/>
      <c r="H232" s="48"/>
      <c r="I232" s="58"/>
      <c r="J232" s="50"/>
    </row>
    <row r="233" spans="1:10" ht="12">
      <c r="A233" s="44"/>
      <c r="B233" s="26" t="s">
        <v>33</v>
      </c>
      <c r="C233" s="46"/>
      <c r="D233" s="50"/>
      <c r="E233" s="47"/>
      <c r="F233" s="48"/>
      <c r="G233" s="48"/>
      <c r="H233" s="48"/>
      <c r="I233" s="58"/>
      <c r="J233" s="50"/>
    </row>
    <row r="234" spans="1:11" ht="12">
      <c r="A234" s="44"/>
      <c r="B234" s="50" t="s">
        <v>34</v>
      </c>
      <c r="C234" s="46" t="s">
        <v>35</v>
      </c>
      <c r="D234" s="12" t="s">
        <v>159</v>
      </c>
      <c r="E234" s="47">
        <v>3</v>
      </c>
      <c r="F234" s="48">
        <v>9.355</v>
      </c>
      <c r="G234" s="48">
        <f aca="true" t="shared" si="4" ref="G234:G240">F234*1.25</f>
        <v>11.693750000000001</v>
      </c>
      <c r="H234" s="22">
        <f aca="true" t="shared" si="5" ref="H234:H240">D234*1.15*(1+$H$3)*G234</f>
        <v>215.16500000000002</v>
      </c>
      <c r="I234" s="57">
        <f aca="true" t="shared" si="6" ref="I234:I240">H234*$I$3</f>
        <v>1105.7329350000002</v>
      </c>
      <c r="J234" s="24">
        <f aca="true" t="shared" si="7" ref="J234:J240">I234*1.25</f>
        <v>1382.1661687500002</v>
      </c>
      <c r="K234" s="1" t="s">
        <v>27</v>
      </c>
    </row>
    <row r="235" spans="1:11" s="17" customFormat="1" ht="12">
      <c r="A235" s="20" t="s">
        <v>34</v>
      </c>
      <c r="B235" s="16" t="s">
        <v>36</v>
      </c>
      <c r="C235" s="12" t="s">
        <v>37</v>
      </c>
      <c r="D235" s="12" t="s">
        <v>160</v>
      </c>
      <c r="E235" s="47">
        <v>3</v>
      </c>
      <c r="F235" s="48">
        <v>9.355</v>
      </c>
      <c r="G235" s="48">
        <f t="shared" si="4"/>
        <v>11.693750000000001</v>
      </c>
      <c r="H235" s="22">
        <f t="shared" si="5"/>
        <v>501872.36250000005</v>
      </c>
      <c r="I235" s="23">
        <f t="shared" si="6"/>
        <v>2579122.0708875004</v>
      </c>
      <c r="J235" s="24">
        <f t="shared" si="7"/>
        <v>3223902.5886093755</v>
      </c>
      <c r="K235" s="17" t="s">
        <v>34</v>
      </c>
    </row>
    <row r="236" spans="1:11" s="17" customFormat="1" ht="12">
      <c r="A236" s="20" t="s">
        <v>34</v>
      </c>
      <c r="B236" s="20" t="s">
        <v>38</v>
      </c>
      <c r="C236" s="12" t="s">
        <v>39</v>
      </c>
      <c r="D236" s="12" t="s">
        <v>161</v>
      </c>
      <c r="E236" s="47">
        <v>3</v>
      </c>
      <c r="F236" s="48">
        <v>9.355</v>
      </c>
      <c r="G236" s="48">
        <f t="shared" si="4"/>
        <v>11.693750000000001</v>
      </c>
      <c r="H236" s="22">
        <f t="shared" si="5"/>
        <v>1121520.666875</v>
      </c>
      <c r="I236" s="23">
        <f t="shared" si="6"/>
        <v>5763494.707070625</v>
      </c>
      <c r="J236" s="24">
        <f t="shared" si="7"/>
        <v>7204368.383838282</v>
      </c>
      <c r="K236" s="17" t="s">
        <v>34</v>
      </c>
    </row>
    <row r="237" spans="1:11" s="17" customFormat="1" ht="12">
      <c r="A237" s="20" t="s">
        <v>34</v>
      </c>
      <c r="B237" s="20" t="s">
        <v>40</v>
      </c>
      <c r="C237" s="12" t="s">
        <v>39</v>
      </c>
      <c r="D237" s="12" t="s">
        <v>162</v>
      </c>
      <c r="E237" s="47">
        <v>3</v>
      </c>
      <c r="F237" s="48">
        <v>9.355</v>
      </c>
      <c r="G237" s="48">
        <f t="shared" si="4"/>
        <v>11.693750000000001</v>
      </c>
      <c r="H237" s="22">
        <f t="shared" si="5"/>
        <v>1261539.290625</v>
      </c>
      <c r="I237" s="23">
        <f t="shared" si="6"/>
        <v>6483050.414521875</v>
      </c>
      <c r="J237" s="24">
        <f t="shared" si="7"/>
        <v>8103813.018152343</v>
      </c>
      <c r="K237" s="17" t="s">
        <v>34</v>
      </c>
    </row>
    <row r="238" spans="1:11" s="17" customFormat="1" ht="12">
      <c r="A238" s="20" t="s">
        <v>34</v>
      </c>
      <c r="B238" s="20" t="s">
        <v>41</v>
      </c>
      <c r="C238" s="12" t="s">
        <v>39</v>
      </c>
      <c r="D238" s="12" t="s">
        <v>163</v>
      </c>
      <c r="E238" s="47">
        <v>3</v>
      </c>
      <c r="F238" s="48">
        <v>9.355</v>
      </c>
      <c r="G238" s="48">
        <f t="shared" si="4"/>
        <v>11.693750000000001</v>
      </c>
      <c r="H238" s="22">
        <f t="shared" si="5"/>
        <v>880051.745625</v>
      </c>
      <c r="I238" s="23">
        <f t="shared" si="6"/>
        <v>4522585.920766875</v>
      </c>
      <c r="J238" s="24">
        <f t="shared" si="7"/>
        <v>5653232.400958594</v>
      </c>
      <c r="K238" s="17" t="s">
        <v>34</v>
      </c>
    </row>
    <row r="239" spans="1:11" s="17" customFormat="1" ht="12">
      <c r="A239" s="20" t="s">
        <v>34</v>
      </c>
      <c r="B239" s="20" t="s">
        <v>42</v>
      </c>
      <c r="C239" s="12" t="s">
        <v>39</v>
      </c>
      <c r="D239" s="12" t="s">
        <v>164</v>
      </c>
      <c r="E239" s="47">
        <v>3</v>
      </c>
      <c r="F239" s="48">
        <v>9.355</v>
      </c>
      <c r="G239" s="48">
        <f t="shared" si="4"/>
        <v>11.693750000000001</v>
      </c>
      <c r="H239" s="22">
        <f t="shared" si="5"/>
        <v>950464.4918750001</v>
      </c>
      <c r="I239" s="23">
        <f t="shared" si="6"/>
        <v>4884437.023745625</v>
      </c>
      <c r="J239" s="24">
        <f t="shared" si="7"/>
        <v>6105546.279682032</v>
      </c>
      <c r="K239" s="17" t="s">
        <v>34</v>
      </c>
    </row>
    <row r="240" spans="1:11" s="17" customFormat="1" ht="12">
      <c r="A240" s="29" t="s">
        <v>34</v>
      </c>
      <c r="B240" s="29" t="s">
        <v>43</v>
      </c>
      <c r="C240" s="30" t="s">
        <v>39</v>
      </c>
      <c r="D240" s="30" t="s">
        <v>165</v>
      </c>
      <c r="E240" s="54">
        <v>3</v>
      </c>
      <c r="F240" s="55">
        <v>9.355</v>
      </c>
      <c r="G240" s="55">
        <f t="shared" si="4"/>
        <v>11.693750000000001</v>
      </c>
      <c r="H240" s="33" t="e">
        <f t="shared" si="5"/>
        <v>#VALUE!</v>
      </c>
      <c r="I240" s="59" t="e">
        <f t="shared" si="6"/>
        <v>#VALUE!</v>
      </c>
      <c r="J240" s="35" t="e">
        <f t="shared" si="7"/>
        <v>#VALUE!</v>
      </c>
      <c r="K240" s="17" t="s">
        <v>34</v>
      </c>
    </row>
    <row r="241" spans="1:10" ht="12">
      <c r="A241" s="44" t="s">
        <v>265</v>
      </c>
      <c r="B241" s="45" t="s">
        <v>135</v>
      </c>
      <c r="C241" s="46"/>
      <c r="D241" s="50"/>
      <c r="E241" s="47"/>
      <c r="F241" s="48"/>
      <c r="G241" s="48"/>
      <c r="H241" s="22"/>
      <c r="I241" s="23"/>
      <c r="J241" s="24"/>
    </row>
    <row r="242" spans="1:11" ht="12">
      <c r="A242" s="44"/>
      <c r="B242" s="50" t="s">
        <v>63</v>
      </c>
      <c r="C242" s="46" t="s">
        <v>51</v>
      </c>
      <c r="D242" s="122">
        <f>0.77*1.2</f>
        <v>0.9239999999999999</v>
      </c>
      <c r="E242" s="47">
        <v>4</v>
      </c>
      <c r="F242" s="48">
        <v>10.36875</v>
      </c>
      <c r="G242" s="48">
        <f>F242*1.25</f>
        <v>12.9609375</v>
      </c>
      <c r="H242" s="22">
        <f>D242*1.15*(1+$H$3)*G242</f>
        <v>27.544584374999992</v>
      </c>
      <c r="I242" s="23">
        <f>H242*$I$3</f>
        <v>141.55161910312498</v>
      </c>
      <c r="J242" s="24">
        <f>I242*1.25</f>
        <v>176.93952387890621</v>
      </c>
      <c r="K242" s="1" t="s">
        <v>26</v>
      </c>
    </row>
    <row r="243" spans="1:11" ht="12">
      <c r="A243" s="44"/>
      <c r="B243" s="50" t="s">
        <v>6</v>
      </c>
      <c r="C243" s="46" t="s">
        <v>2</v>
      </c>
      <c r="D243" s="122">
        <f>1.22*1.2</f>
        <v>1.464</v>
      </c>
      <c r="E243" s="47">
        <v>4</v>
      </c>
      <c r="F243" s="48">
        <v>10.36875</v>
      </c>
      <c r="G243" s="48">
        <f>F243*1.25</f>
        <v>12.9609375</v>
      </c>
      <c r="H243" s="22">
        <f>D243*1.15*(1+$H$3)*G243</f>
        <v>43.64206874999999</v>
      </c>
      <c r="I243" s="23">
        <f>H243*$I$3</f>
        <v>224.27659130624997</v>
      </c>
      <c r="J243" s="24">
        <f>I243*1.25</f>
        <v>280.34573913281247</v>
      </c>
      <c r="K243" s="1" t="s">
        <v>26</v>
      </c>
    </row>
    <row r="244" spans="1:11" ht="12">
      <c r="A244" s="44"/>
      <c r="B244" s="50" t="s">
        <v>7</v>
      </c>
      <c r="C244" s="46" t="s">
        <v>2</v>
      </c>
      <c r="D244" s="122">
        <f>2.58*1.2</f>
        <v>3.096</v>
      </c>
      <c r="E244" s="47">
        <v>4</v>
      </c>
      <c r="F244" s="48">
        <v>10.36875</v>
      </c>
      <c r="G244" s="48">
        <f>F244*1.25</f>
        <v>12.9609375</v>
      </c>
      <c r="H244" s="22">
        <f>D244*1.15*(1+$H$3)*G244</f>
        <v>92.29224375</v>
      </c>
      <c r="I244" s="23">
        <f>H244*$I$3</f>
        <v>474.28984063125</v>
      </c>
      <c r="J244" s="24">
        <f>I244*1.25</f>
        <v>592.8623007890625</v>
      </c>
      <c r="K244" s="1" t="s">
        <v>26</v>
      </c>
    </row>
    <row r="245" spans="1:10" ht="12">
      <c r="A245" s="44" t="s">
        <v>266</v>
      </c>
      <c r="B245" s="45" t="s">
        <v>121</v>
      </c>
      <c r="C245" s="46"/>
      <c r="D245" s="122"/>
      <c r="E245" s="47"/>
      <c r="F245" s="48"/>
      <c r="G245" s="48"/>
      <c r="H245" s="22"/>
      <c r="I245" s="23"/>
      <c r="J245" s="24"/>
    </row>
    <row r="246" spans="1:11" ht="12">
      <c r="A246" s="44"/>
      <c r="B246" s="50" t="s">
        <v>63</v>
      </c>
      <c r="C246" s="46" t="s">
        <v>51</v>
      </c>
      <c r="D246" s="122">
        <f>0.34*1.2</f>
        <v>0.40800000000000003</v>
      </c>
      <c r="E246" s="47">
        <v>4</v>
      </c>
      <c r="F246" s="48">
        <v>10.36875</v>
      </c>
      <c r="G246" s="48">
        <f>F246*1.25</f>
        <v>12.9609375</v>
      </c>
      <c r="H246" s="22">
        <f>D246*1.15*(1+$H$3)*G246</f>
        <v>12.16254375</v>
      </c>
      <c r="I246" s="23">
        <f>H246*$I$3</f>
        <v>62.50331233125</v>
      </c>
      <c r="J246" s="24">
        <f>I246*1.25</f>
        <v>78.1291404140625</v>
      </c>
      <c r="K246" s="1" t="s">
        <v>26</v>
      </c>
    </row>
    <row r="247" spans="1:11" ht="12">
      <c r="A247" s="44"/>
      <c r="B247" s="50" t="s">
        <v>6</v>
      </c>
      <c r="C247" s="46" t="s">
        <v>2</v>
      </c>
      <c r="D247" s="122">
        <f>0.79*1.2</f>
        <v>0.948</v>
      </c>
      <c r="E247" s="47">
        <v>4</v>
      </c>
      <c r="F247" s="48">
        <v>10.36875</v>
      </c>
      <c r="G247" s="48">
        <f>F247*1.25</f>
        <v>12.9609375</v>
      </c>
      <c r="H247" s="22">
        <f>D247*1.15*(1+$H$3)*G247</f>
        <v>28.260028124999995</v>
      </c>
      <c r="I247" s="23">
        <f>H247*$I$3</f>
        <v>145.22828453437498</v>
      </c>
      <c r="J247" s="24">
        <f>I247*1.25</f>
        <v>181.53535566796873</v>
      </c>
      <c r="K247" s="1" t="s">
        <v>26</v>
      </c>
    </row>
    <row r="248" spans="1:11" ht="12">
      <c r="A248" s="44"/>
      <c r="B248" s="50" t="s">
        <v>7</v>
      </c>
      <c r="C248" s="46" t="s">
        <v>2</v>
      </c>
      <c r="D248" s="122">
        <f>2.15*1.2</f>
        <v>2.5799999999999996</v>
      </c>
      <c r="E248" s="47">
        <v>4</v>
      </c>
      <c r="F248" s="48">
        <v>10.36875</v>
      </c>
      <c r="G248" s="48">
        <f>F248*1.25</f>
        <v>12.9609375</v>
      </c>
      <c r="H248" s="22">
        <f>D248*1.15*(1+$H$3)*G248</f>
        <v>76.91020312499998</v>
      </c>
      <c r="I248" s="23">
        <f>H248*$I$3</f>
        <v>395.2415338593749</v>
      </c>
      <c r="J248" s="24">
        <f>I248*1.25</f>
        <v>494.0519173242186</v>
      </c>
      <c r="K248" s="1" t="s">
        <v>26</v>
      </c>
    </row>
    <row r="249" spans="1:10" ht="12">
      <c r="A249" s="51"/>
      <c r="B249" s="52" t="s">
        <v>113</v>
      </c>
      <c r="C249" s="53"/>
      <c r="D249" s="52"/>
      <c r="E249" s="54"/>
      <c r="F249" s="55"/>
      <c r="G249" s="55"/>
      <c r="H249" s="33"/>
      <c r="I249" s="34"/>
      <c r="J249" s="35"/>
    </row>
    <row r="250" spans="1:10" ht="12">
      <c r="A250" s="44" t="s">
        <v>267</v>
      </c>
      <c r="B250" s="45" t="s">
        <v>136</v>
      </c>
      <c r="C250" s="46"/>
      <c r="D250" s="50"/>
      <c r="E250" s="47"/>
      <c r="F250" s="48"/>
      <c r="G250" s="48"/>
      <c r="H250" s="22"/>
      <c r="I250" s="23"/>
      <c r="J250" s="24"/>
    </row>
    <row r="251" spans="1:11" ht="12">
      <c r="A251" s="44"/>
      <c r="B251" s="50" t="s">
        <v>63</v>
      </c>
      <c r="C251" s="46" t="s">
        <v>51</v>
      </c>
      <c r="D251" s="122">
        <f>0.9*1.2</f>
        <v>1.08</v>
      </c>
      <c r="E251" s="47">
        <v>4</v>
      </c>
      <c r="F251" s="48">
        <v>10.36875</v>
      </c>
      <c r="G251" s="48">
        <f>F251*1.25</f>
        <v>12.9609375</v>
      </c>
      <c r="H251" s="22">
        <f>D251*1.15*(1+$H$3)*G251</f>
        <v>32.19496875</v>
      </c>
      <c r="I251" s="23">
        <f>H251*$I$3</f>
        <v>165.44994440625</v>
      </c>
      <c r="J251" s="24">
        <f>I251*1.25</f>
        <v>206.8124305078125</v>
      </c>
      <c r="K251" s="1" t="s">
        <v>26</v>
      </c>
    </row>
    <row r="252" spans="1:11" ht="12">
      <c r="A252" s="44"/>
      <c r="B252" s="50" t="s">
        <v>6</v>
      </c>
      <c r="C252" s="46" t="s">
        <v>2</v>
      </c>
      <c r="D252" s="122">
        <f>1.93*1.2</f>
        <v>2.316</v>
      </c>
      <c r="E252" s="47">
        <v>4</v>
      </c>
      <c r="F252" s="48">
        <v>10.36875</v>
      </c>
      <c r="G252" s="48">
        <f>F252*1.25</f>
        <v>12.9609375</v>
      </c>
      <c r="H252" s="22">
        <f>D252*1.15*(1+$H$3)*G252</f>
        <v>69.04032187499999</v>
      </c>
      <c r="I252" s="23">
        <f>H252*$I$3</f>
        <v>354.79821411562494</v>
      </c>
      <c r="J252" s="24">
        <f>I252*1.25</f>
        <v>443.49776764453117</v>
      </c>
      <c r="K252" s="1" t="s">
        <v>26</v>
      </c>
    </row>
    <row r="253" spans="1:11" ht="12">
      <c r="A253" s="44"/>
      <c r="B253" s="50" t="s">
        <v>7</v>
      </c>
      <c r="C253" s="46" t="s">
        <v>2</v>
      </c>
      <c r="D253" s="122">
        <f>4.82*1.2</f>
        <v>5.784</v>
      </c>
      <c r="E253" s="47">
        <v>4</v>
      </c>
      <c r="F253" s="48">
        <v>10.36875</v>
      </c>
      <c r="G253" s="48">
        <f>F253*1.25</f>
        <v>12.9609375</v>
      </c>
      <c r="H253" s="22">
        <f>D253*1.15*(1+$H$3)*G253</f>
        <v>172.42194374999997</v>
      </c>
      <c r="I253" s="23">
        <f>H253*$I$3</f>
        <v>886.0763689312499</v>
      </c>
      <c r="J253" s="24">
        <f>I253*1.25</f>
        <v>1107.5954611640625</v>
      </c>
      <c r="K253" s="1" t="s">
        <v>26</v>
      </c>
    </row>
    <row r="254" spans="1:10" ht="12">
      <c r="A254" s="44" t="s">
        <v>268</v>
      </c>
      <c r="B254" s="45" t="s">
        <v>121</v>
      </c>
      <c r="C254" s="46"/>
      <c r="D254" s="122"/>
      <c r="E254" s="47"/>
      <c r="F254" s="48"/>
      <c r="G254" s="48"/>
      <c r="H254" s="22"/>
      <c r="I254" s="23"/>
      <c r="J254" s="24"/>
    </row>
    <row r="255" spans="1:11" ht="12">
      <c r="A255" s="44"/>
      <c r="B255" s="50" t="s">
        <v>63</v>
      </c>
      <c r="C255" s="46" t="s">
        <v>51</v>
      </c>
      <c r="D255" s="122">
        <f>0.47*1.2</f>
        <v>0.564</v>
      </c>
      <c r="E255" s="47">
        <v>4</v>
      </c>
      <c r="F255" s="48">
        <v>10.36875</v>
      </c>
      <c r="G255" s="48">
        <f>F255*1.25</f>
        <v>12.9609375</v>
      </c>
      <c r="H255" s="22">
        <f>D255*1.15*(1+$H$3)*G255</f>
        <v>16.812928124999996</v>
      </c>
      <c r="I255" s="23">
        <f>H255*$I$3</f>
        <v>86.40163763437498</v>
      </c>
      <c r="J255" s="24">
        <f>I255*1.25</f>
        <v>108.00204704296873</v>
      </c>
      <c r="K255" s="1" t="s">
        <v>26</v>
      </c>
    </row>
    <row r="256" spans="1:11" ht="12">
      <c r="A256" s="44"/>
      <c r="B256" s="50" t="s">
        <v>6</v>
      </c>
      <c r="C256" s="46" t="s">
        <v>2</v>
      </c>
      <c r="D256" s="122">
        <f>1.5*1.2</f>
        <v>1.7999999999999998</v>
      </c>
      <c r="E256" s="47">
        <v>4</v>
      </c>
      <c r="F256" s="48">
        <v>10.36875</v>
      </c>
      <c r="G256" s="48">
        <f>F256*1.25</f>
        <v>12.9609375</v>
      </c>
      <c r="H256" s="22">
        <f>D256*1.15*(1+$H$3)*G256</f>
        <v>53.658281249999995</v>
      </c>
      <c r="I256" s="23">
        <f>H256*$I$3</f>
        <v>275.74990734375</v>
      </c>
      <c r="J256" s="24">
        <f>I256*1.25</f>
        <v>344.6873841796875</v>
      </c>
      <c r="K256" s="1" t="s">
        <v>26</v>
      </c>
    </row>
    <row r="257" spans="1:11" ht="12">
      <c r="A257" s="44"/>
      <c r="B257" s="50" t="s">
        <v>7</v>
      </c>
      <c r="C257" s="46" t="s">
        <v>2</v>
      </c>
      <c r="D257" s="122">
        <f>4.39*1.2</f>
        <v>5.268</v>
      </c>
      <c r="E257" s="47">
        <v>4</v>
      </c>
      <c r="F257" s="48">
        <v>10.36875</v>
      </c>
      <c r="G257" s="48">
        <f>F257*1.25</f>
        <v>12.9609375</v>
      </c>
      <c r="H257" s="22">
        <f>D257*1.15*(1+$H$3)*G257</f>
        <v>157.039903125</v>
      </c>
      <c r="I257" s="23">
        <f>H257*$I$3</f>
        <v>807.028062159375</v>
      </c>
      <c r="J257" s="24">
        <f>I257*1.25</f>
        <v>1008.7850776992188</v>
      </c>
      <c r="K257" s="1" t="s">
        <v>26</v>
      </c>
    </row>
    <row r="258" spans="1:10" ht="12">
      <c r="A258" s="51"/>
      <c r="B258" s="52" t="s">
        <v>113</v>
      </c>
      <c r="C258" s="53"/>
      <c r="D258" s="123"/>
      <c r="E258" s="54"/>
      <c r="F258" s="55"/>
      <c r="G258" s="55"/>
      <c r="H258" s="33"/>
      <c r="I258" s="34"/>
      <c r="J258" s="35"/>
    </row>
    <row r="259" spans="1:10" ht="12">
      <c r="A259" s="44" t="s">
        <v>269</v>
      </c>
      <c r="B259" s="45" t="s">
        <v>137</v>
      </c>
      <c r="C259" s="46"/>
      <c r="D259" s="122"/>
      <c r="E259" s="47"/>
      <c r="F259" s="48"/>
      <c r="G259" s="48"/>
      <c r="H259" s="22"/>
      <c r="I259" s="23"/>
      <c r="J259" s="24"/>
    </row>
    <row r="260" spans="1:11" ht="12">
      <c r="A260" s="44"/>
      <c r="B260" s="50" t="s">
        <v>63</v>
      </c>
      <c r="C260" s="46" t="s">
        <v>51</v>
      </c>
      <c r="D260" s="122">
        <f>0.57*1.2</f>
        <v>0.6839999999999999</v>
      </c>
      <c r="E260" s="47">
        <v>4</v>
      </c>
      <c r="F260" s="48">
        <v>10.36875</v>
      </c>
      <c r="G260" s="48">
        <f>F260*1.25</f>
        <v>12.9609375</v>
      </c>
      <c r="H260" s="22">
        <f>D260*1.15*(1+$H$3)*G260</f>
        <v>20.390146874999996</v>
      </c>
      <c r="I260" s="23">
        <f>H260*$I$3</f>
        <v>104.78496479062498</v>
      </c>
      <c r="J260" s="24">
        <f>I260*1.25</f>
        <v>130.98120598828123</v>
      </c>
      <c r="K260" s="1" t="s">
        <v>26</v>
      </c>
    </row>
    <row r="261" spans="1:11" ht="12">
      <c r="A261" s="44"/>
      <c r="B261" s="50" t="s">
        <v>6</v>
      </c>
      <c r="C261" s="46" t="s">
        <v>2</v>
      </c>
      <c r="D261" s="122">
        <f>0.85*1.2</f>
        <v>1.02</v>
      </c>
      <c r="E261" s="47">
        <v>4</v>
      </c>
      <c r="F261" s="48">
        <v>10.36875</v>
      </c>
      <c r="G261" s="48">
        <f>F261*1.25</f>
        <v>12.9609375</v>
      </c>
      <c r="H261" s="22">
        <f>D261*1.15*(1+$H$3)*G261</f>
        <v>30.406359374999994</v>
      </c>
      <c r="I261" s="23">
        <f>H261*$I$3</f>
        <v>156.25828082812498</v>
      </c>
      <c r="J261" s="24">
        <f>I261*1.25</f>
        <v>195.32285103515622</v>
      </c>
      <c r="K261" s="1" t="s">
        <v>26</v>
      </c>
    </row>
    <row r="262" spans="1:11" ht="12">
      <c r="A262" s="44"/>
      <c r="B262" s="50" t="s">
        <v>7</v>
      </c>
      <c r="C262" s="46" t="s">
        <v>2</v>
      </c>
      <c r="D262" s="122">
        <f>1.63*1.2</f>
        <v>1.9559999999999997</v>
      </c>
      <c r="E262" s="47">
        <v>4</v>
      </c>
      <c r="F262" s="48">
        <v>10.36875</v>
      </c>
      <c r="G262" s="48">
        <f>F262*1.25</f>
        <v>12.9609375</v>
      </c>
      <c r="H262" s="22">
        <f>D262*1.15*(1+$H$3)*G262</f>
        <v>58.30866562499999</v>
      </c>
      <c r="I262" s="23">
        <f>H262*$I$3</f>
        <v>299.64823264687493</v>
      </c>
      <c r="J262" s="24">
        <f>I262*1.25</f>
        <v>374.56029080859366</v>
      </c>
      <c r="K262" s="1" t="s">
        <v>26</v>
      </c>
    </row>
    <row r="263" spans="1:10" ht="12">
      <c r="A263" s="44" t="s">
        <v>270</v>
      </c>
      <c r="B263" s="45" t="s">
        <v>121</v>
      </c>
      <c r="C263" s="46"/>
      <c r="D263" s="122"/>
      <c r="E263" s="47"/>
      <c r="F263" s="48"/>
      <c r="G263" s="48"/>
      <c r="H263" s="22"/>
      <c r="I263" s="23"/>
      <c r="J263" s="24"/>
    </row>
    <row r="264" spans="1:11" ht="12">
      <c r="A264" s="44"/>
      <c r="B264" s="50" t="s">
        <v>63</v>
      </c>
      <c r="C264" s="46" t="s">
        <v>51</v>
      </c>
      <c r="D264" s="122">
        <f>0.14*1.2</f>
        <v>0.168</v>
      </c>
      <c r="E264" s="47">
        <v>4</v>
      </c>
      <c r="F264" s="48">
        <v>10.36875</v>
      </c>
      <c r="G264" s="48">
        <f>F264*1.25</f>
        <v>12.9609375</v>
      </c>
      <c r="H264" s="22">
        <f>D264*1.15*(1+$H$3)*G264</f>
        <v>5.00810625</v>
      </c>
      <c r="I264" s="23">
        <f>H264*$I$3</f>
        <v>25.736658018750003</v>
      </c>
      <c r="J264" s="24">
        <f>I264*1.25</f>
        <v>32.1708225234375</v>
      </c>
      <c r="K264" s="1" t="s">
        <v>26</v>
      </c>
    </row>
    <row r="265" spans="1:11" ht="12">
      <c r="A265" s="44"/>
      <c r="B265" s="50" t="s">
        <v>6</v>
      </c>
      <c r="C265" s="46" t="s">
        <v>2</v>
      </c>
      <c r="D265" s="122">
        <f>0.42*1.2</f>
        <v>0.504</v>
      </c>
      <c r="E265" s="47">
        <v>4</v>
      </c>
      <c r="F265" s="48">
        <v>10.36875</v>
      </c>
      <c r="G265" s="48">
        <f>F265*1.25</f>
        <v>12.9609375</v>
      </c>
      <c r="H265" s="22">
        <f>D265*1.15*(1+$H$3)*G265</f>
        <v>15.02431875</v>
      </c>
      <c r="I265" s="23">
        <f>H265*$I$3</f>
        <v>77.20997405625</v>
      </c>
      <c r="J265" s="24">
        <f>I265*1.25</f>
        <v>96.51246757031251</v>
      </c>
      <c r="K265" s="1" t="s">
        <v>26</v>
      </c>
    </row>
    <row r="266" spans="1:11" ht="12">
      <c r="A266" s="44"/>
      <c r="B266" s="50" t="s">
        <v>7</v>
      </c>
      <c r="C266" s="46" t="s">
        <v>2</v>
      </c>
      <c r="D266" s="122">
        <f>1.2*1.2</f>
        <v>1.44</v>
      </c>
      <c r="E266" s="47">
        <v>4</v>
      </c>
      <c r="F266" s="48">
        <v>10.36875</v>
      </c>
      <c r="G266" s="48">
        <f>F266*1.25</f>
        <v>12.9609375</v>
      </c>
      <c r="H266" s="22">
        <f>D266*1.15*(1+$H$3)*G266</f>
        <v>42.926625</v>
      </c>
      <c r="I266" s="23">
        <f>H266*$I$3</f>
        <v>220.59992587500003</v>
      </c>
      <c r="J266" s="24">
        <f>I266*1.25</f>
        <v>275.74990734375</v>
      </c>
      <c r="K266" s="1" t="s">
        <v>26</v>
      </c>
    </row>
    <row r="267" spans="1:10" ht="12">
      <c r="A267" s="51"/>
      <c r="B267" s="52" t="s">
        <v>113</v>
      </c>
      <c r="C267" s="53"/>
      <c r="D267" s="123"/>
      <c r="E267" s="54"/>
      <c r="F267" s="55"/>
      <c r="G267" s="55"/>
      <c r="H267" s="33"/>
      <c r="I267" s="34"/>
      <c r="J267" s="35"/>
    </row>
    <row r="268" spans="1:10" s="9" customFormat="1" ht="12">
      <c r="A268" s="51" t="s">
        <v>271</v>
      </c>
      <c r="B268" s="65" t="s">
        <v>122</v>
      </c>
      <c r="C268" s="66" t="s">
        <v>118</v>
      </c>
      <c r="D268" s="128">
        <f>2*1.2</f>
        <v>2.4</v>
      </c>
      <c r="E268" s="67">
        <v>3</v>
      </c>
      <c r="F268" s="67">
        <v>9.355</v>
      </c>
      <c r="G268" s="67">
        <f>F268*1.25</f>
        <v>11.693750000000001</v>
      </c>
      <c r="H268" s="68">
        <f>D268*1.15*(1+$H$3)*G268</f>
        <v>64.54950000000001</v>
      </c>
      <c r="I268" s="68">
        <f>H268*$I$3</f>
        <v>331.71988050000004</v>
      </c>
      <c r="J268" s="69">
        <f>I268*1.25</f>
        <v>414.64985062500006</v>
      </c>
    </row>
    <row r="269" spans="1:10" ht="12">
      <c r="A269" s="44" t="s">
        <v>272</v>
      </c>
      <c r="B269" s="45" t="s">
        <v>9</v>
      </c>
      <c r="C269" s="46"/>
      <c r="D269" s="122"/>
      <c r="E269" s="47"/>
      <c r="F269" s="48"/>
      <c r="G269" s="48"/>
      <c r="H269" s="48"/>
      <c r="I269" s="23"/>
      <c r="J269" s="24"/>
    </row>
    <row r="270" spans="1:11" ht="12">
      <c r="A270" s="44"/>
      <c r="B270" s="50" t="s">
        <v>66</v>
      </c>
      <c r="C270" s="46" t="s">
        <v>25</v>
      </c>
      <c r="D270" s="122">
        <v>0.79</v>
      </c>
      <c r="E270" s="47">
        <v>4</v>
      </c>
      <c r="F270" s="48">
        <v>10.36875</v>
      </c>
      <c r="G270" s="48">
        <f>F270*1.25</f>
        <v>12.9609375</v>
      </c>
      <c r="H270" s="22">
        <f>D270*1.15*(1+$H$3)*G270</f>
        <v>23.5500234375</v>
      </c>
      <c r="I270" s="23">
        <f>H270*$I$3</f>
        <v>121.0235704453125</v>
      </c>
      <c r="J270" s="24">
        <f>I270*1.25</f>
        <v>151.27946305664062</v>
      </c>
      <c r="K270" s="1" t="s">
        <v>26</v>
      </c>
    </row>
    <row r="271" spans="1:11" ht="12">
      <c r="A271" s="44"/>
      <c r="B271" s="50" t="s">
        <v>6</v>
      </c>
      <c r="C271" s="46" t="s">
        <v>2</v>
      </c>
      <c r="D271" s="122">
        <v>0.89</v>
      </c>
      <c r="E271" s="47">
        <v>4</v>
      </c>
      <c r="F271" s="48">
        <v>10.36875</v>
      </c>
      <c r="G271" s="48">
        <f>F271*1.25</f>
        <v>12.9609375</v>
      </c>
      <c r="H271" s="22">
        <f>D271*1.15*(1+$H$3)*G271</f>
        <v>26.531039062499996</v>
      </c>
      <c r="I271" s="57">
        <f>H271*$I$3</f>
        <v>136.3430097421875</v>
      </c>
      <c r="J271" s="24">
        <f>I271*1.25</f>
        <v>170.42876217773437</v>
      </c>
      <c r="K271" s="1" t="s">
        <v>26</v>
      </c>
    </row>
    <row r="272" spans="1:11" ht="12">
      <c r="A272" s="44"/>
      <c r="B272" s="50" t="s">
        <v>7</v>
      </c>
      <c r="C272" s="46" t="s">
        <v>2</v>
      </c>
      <c r="D272" s="122">
        <v>1</v>
      </c>
      <c r="E272" s="47">
        <v>4</v>
      </c>
      <c r="F272" s="48">
        <v>10.36875</v>
      </c>
      <c r="G272" s="48">
        <f>F272*1.25</f>
        <v>12.9609375</v>
      </c>
      <c r="H272" s="22">
        <f>D272*1.15*(1+$H$3)*G272</f>
        <v>29.81015625</v>
      </c>
      <c r="I272" s="23">
        <f>H272*$I$3</f>
        <v>153.19439296875</v>
      </c>
      <c r="J272" s="24">
        <f>I272*1.25</f>
        <v>191.4929912109375</v>
      </c>
      <c r="K272" s="1" t="s">
        <v>26</v>
      </c>
    </row>
    <row r="273" spans="1:11" ht="12">
      <c r="A273" s="44"/>
      <c r="B273" s="50" t="s">
        <v>8</v>
      </c>
      <c r="C273" s="46" t="s">
        <v>2</v>
      </c>
      <c r="D273" s="122">
        <v>1.14</v>
      </c>
      <c r="E273" s="47">
        <v>5</v>
      </c>
      <c r="F273" s="48">
        <v>11.53875</v>
      </c>
      <c r="G273" s="48">
        <f>F273*1.25</f>
        <v>14.4234375</v>
      </c>
      <c r="H273" s="22">
        <f>D273*1.15*(1+$H$3)*G273</f>
        <v>37.81825312499999</v>
      </c>
      <c r="I273" s="23">
        <f>H273*$I$3</f>
        <v>194.34800280937498</v>
      </c>
      <c r="J273" s="24">
        <f>I273*1.25</f>
        <v>242.93500351171872</v>
      </c>
      <c r="K273" s="1" t="s">
        <v>26</v>
      </c>
    </row>
    <row r="274" spans="1:10" ht="12">
      <c r="A274" s="51"/>
      <c r="B274" s="52" t="s">
        <v>67</v>
      </c>
      <c r="C274" s="53"/>
      <c r="D274" s="123"/>
      <c r="E274" s="54"/>
      <c r="F274" s="55"/>
      <c r="G274" s="55"/>
      <c r="H274" s="33"/>
      <c r="I274" s="34"/>
      <c r="J274" s="35"/>
    </row>
    <row r="275" spans="1:10" ht="12">
      <c r="A275" s="44" t="s">
        <v>273</v>
      </c>
      <c r="B275" s="45" t="s">
        <v>111</v>
      </c>
      <c r="C275" s="46"/>
      <c r="D275" s="122"/>
      <c r="E275" s="47"/>
      <c r="F275" s="48"/>
      <c r="G275" s="48"/>
      <c r="H275" s="22"/>
      <c r="I275" s="23"/>
      <c r="J275" s="24"/>
    </row>
    <row r="276" spans="1:10" ht="12">
      <c r="A276" s="44"/>
      <c r="B276" s="50" t="s">
        <v>63</v>
      </c>
      <c r="C276" s="46" t="s">
        <v>24</v>
      </c>
      <c r="D276" s="122">
        <v>1.6</v>
      </c>
      <c r="E276" s="47">
        <v>4</v>
      </c>
      <c r="F276" s="48">
        <v>10.36875</v>
      </c>
      <c r="G276" s="48">
        <f>F276*1.25</f>
        <v>12.9609375</v>
      </c>
      <c r="H276" s="22">
        <f>D276*1.15*(1+$H$3)*G276</f>
        <v>47.69625</v>
      </c>
      <c r="I276" s="23">
        <f>H276*$I$3</f>
        <v>245.11102875</v>
      </c>
      <c r="J276" s="24">
        <f>I276*1.25</f>
        <v>306.3887859375</v>
      </c>
    </row>
    <row r="277" spans="1:10" ht="12">
      <c r="A277" s="44"/>
      <c r="B277" s="50" t="s">
        <v>6</v>
      </c>
      <c r="C277" s="46" t="s">
        <v>2</v>
      </c>
      <c r="D277" s="122">
        <v>2.8</v>
      </c>
      <c r="E277" s="47">
        <v>4</v>
      </c>
      <c r="F277" s="48">
        <v>10.36875</v>
      </c>
      <c r="G277" s="48">
        <f>F277*1.25</f>
        <v>12.9609375</v>
      </c>
      <c r="H277" s="22">
        <f>D277*1.15*(1+$H$3)*G277</f>
        <v>83.4684375</v>
      </c>
      <c r="I277" s="23">
        <f>H277*$I$3</f>
        <v>428.9443003125</v>
      </c>
      <c r="J277" s="24">
        <f>I277*1.25</f>
        <v>536.1803753906249</v>
      </c>
    </row>
    <row r="278" spans="1:10" ht="12">
      <c r="A278" s="44"/>
      <c r="B278" s="50" t="s">
        <v>7</v>
      </c>
      <c r="C278" s="46" t="s">
        <v>2</v>
      </c>
      <c r="D278" s="122">
        <v>4</v>
      </c>
      <c r="E278" s="47">
        <v>4</v>
      </c>
      <c r="F278" s="48">
        <v>10.36875</v>
      </c>
      <c r="G278" s="48">
        <f>F278*1.25</f>
        <v>12.9609375</v>
      </c>
      <c r="H278" s="22">
        <f>D278*1.15*(1+$H$3)*G278</f>
        <v>119.240625</v>
      </c>
      <c r="I278" s="23">
        <f>H278*$I$3</f>
        <v>612.777571875</v>
      </c>
      <c r="J278" s="24">
        <f>I278*1.25</f>
        <v>765.97196484375</v>
      </c>
    </row>
    <row r="279" spans="1:10" ht="12">
      <c r="A279" s="44"/>
      <c r="B279" s="50" t="s">
        <v>8</v>
      </c>
      <c r="C279" s="46" t="s">
        <v>2</v>
      </c>
      <c r="D279" s="122">
        <v>5.9</v>
      </c>
      <c r="E279" s="47">
        <v>4</v>
      </c>
      <c r="F279" s="48">
        <v>10.36875</v>
      </c>
      <c r="G279" s="48">
        <f>F279*1.25</f>
        <v>12.9609375</v>
      </c>
      <c r="H279" s="22">
        <f>D279*1.15*(1+$H$3)*G279</f>
        <v>175.879921875</v>
      </c>
      <c r="I279" s="23">
        <f>H279*$I$3</f>
        <v>903.8469185156251</v>
      </c>
      <c r="J279" s="24">
        <f>I279*1.25</f>
        <v>1129.8086481445314</v>
      </c>
    </row>
    <row r="280" spans="1:10" ht="12">
      <c r="A280" s="44"/>
      <c r="B280" s="50" t="s">
        <v>4</v>
      </c>
      <c r="C280" s="46" t="s">
        <v>2</v>
      </c>
      <c r="D280" s="122">
        <v>8.3</v>
      </c>
      <c r="E280" s="47">
        <v>4</v>
      </c>
      <c r="F280" s="48">
        <v>10.36875</v>
      </c>
      <c r="G280" s="48">
        <f>F280*1.25</f>
        <v>12.9609375</v>
      </c>
      <c r="H280" s="22">
        <f>D280*1.15*(1+$H$3)*G280</f>
        <v>247.424296875</v>
      </c>
      <c r="I280" s="70">
        <f>H280*$I$3</f>
        <v>1271.513461640625</v>
      </c>
      <c r="J280" s="24">
        <f>I280*1.25</f>
        <v>1589.3918270507813</v>
      </c>
    </row>
    <row r="281" spans="1:10" ht="12.75" thickBot="1">
      <c r="A281" s="60"/>
      <c r="B281" s="61" t="s">
        <v>112</v>
      </c>
      <c r="C281" s="62"/>
      <c r="D281" s="129"/>
      <c r="E281" s="63"/>
      <c r="F281" s="64"/>
      <c r="G281" s="64"/>
      <c r="H281" s="41"/>
      <c r="I281" s="42"/>
      <c r="J281" s="43"/>
    </row>
    <row r="282" spans="1:10" s="9" customFormat="1" ht="12.75" thickBot="1">
      <c r="A282" s="7" t="s">
        <v>20</v>
      </c>
      <c r="B282" s="8">
        <v>2</v>
      </c>
      <c r="C282" s="8">
        <v>3</v>
      </c>
      <c r="D282" s="8">
        <v>4</v>
      </c>
      <c r="E282" s="8">
        <v>5</v>
      </c>
      <c r="F282" s="8">
        <v>6</v>
      </c>
      <c r="G282" s="8">
        <v>6</v>
      </c>
      <c r="H282" s="8">
        <v>7</v>
      </c>
      <c r="I282" s="8">
        <v>4</v>
      </c>
      <c r="J282" s="7" t="s">
        <v>84</v>
      </c>
    </row>
    <row r="283" spans="1:10" ht="12">
      <c r="A283" s="44" t="s">
        <v>274</v>
      </c>
      <c r="B283" s="45" t="s">
        <v>110</v>
      </c>
      <c r="C283" s="46"/>
      <c r="D283" s="132"/>
      <c r="E283" s="47"/>
      <c r="F283" s="48"/>
      <c r="G283" s="48"/>
      <c r="H283" s="22"/>
      <c r="I283" s="23"/>
      <c r="J283" s="24"/>
    </row>
    <row r="284" spans="1:10" ht="12">
      <c r="A284" s="44"/>
      <c r="B284" s="50" t="s">
        <v>63</v>
      </c>
      <c r="C284" s="46" t="s">
        <v>25</v>
      </c>
      <c r="D284" s="122">
        <v>5.1</v>
      </c>
      <c r="E284" s="47">
        <v>4</v>
      </c>
      <c r="F284" s="48">
        <v>10.36875</v>
      </c>
      <c r="G284" s="48">
        <f>F284*1.25</f>
        <v>12.9609375</v>
      </c>
      <c r="H284" s="22">
        <f>D284*1.15*(1+$H$3)*G284</f>
        <v>152.03179687499997</v>
      </c>
      <c r="I284" s="23">
        <f>H284*$I$3</f>
        <v>781.2914041406249</v>
      </c>
      <c r="J284" s="24">
        <f>I284*1.25</f>
        <v>976.6142551757811</v>
      </c>
    </row>
    <row r="285" spans="1:10" ht="12">
      <c r="A285" s="44"/>
      <c r="B285" s="50" t="s">
        <v>6</v>
      </c>
      <c r="C285" s="46" t="s">
        <v>2</v>
      </c>
      <c r="D285" s="122">
        <v>5.9</v>
      </c>
      <c r="E285" s="47">
        <v>4</v>
      </c>
      <c r="F285" s="48">
        <v>10.36875</v>
      </c>
      <c r="G285" s="48">
        <f>F285*1.25</f>
        <v>12.9609375</v>
      </c>
      <c r="H285" s="22">
        <f>D285*1.15*(1+$H$3)*G285</f>
        <v>175.879921875</v>
      </c>
      <c r="I285" s="23">
        <f>H285*$I$3</f>
        <v>903.8469185156251</v>
      </c>
      <c r="J285" s="24">
        <f>I285*1.25</f>
        <v>1129.8086481445314</v>
      </c>
    </row>
    <row r="286" spans="1:10" ht="12">
      <c r="A286" s="44"/>
      <c r="B286" s="50" t="s">
        <v>7</v>
      </c>
      <c r="C286" s="46" t="s">
        <v>2</v>
      </c>
      <c r="D286" s="122">
        <v>6.7</v>
      </c>
      <c r="E286" s="47">
        <v>4</v>
      </c>
      <c r="F286" s="48">
        <v>10.36875</v>
      </c>
      <c r="G286" s="48">
        <f>F286*1.25</f>
        <v>12.9609375</v>
      </c>
      <c r="H286" s="22">
        <f>D286*1.15*(1+$H$3)*G286</f>
        <v>199.728046875</v>
      </c>
      <c r="I286" s="23">
        <f>H286*$I$3</f>
        <v>1026.402432890625</v>
      </c>
      <c r="J286" s="24">
        <f>I286*1.25</f>
        <v>1283.0030411132814</v>
      </c>
    </row>
    <row r="287" spans="1:10" ht="12">
      <c r="A287" s="44"/>
      <c r="B287" s="50" t="s">
        <v>8</v>
      </c>
      <c r="C287" s="46" t="s">
        <v>2</v>
      </c>
      <c r="D287" s="122">
        <v>7.9</v>
      </c>
      <c r="E287" s="47">
        <v>4</v>
      </c>
      <c r="F287" s="48">
        <v>10.36875</v>
      </c>
      <c r="G287" s="48">
        <f>F287*1.25</f>
        <v>12.9609375</v>
      </c>
      <c r="H287" s="22">
        <f>D287*1.15*(1+$H$3)*G287</f>
        <v>235.50023437499996</v>
      </c>
      <c r="I287" s="23">
        <f>H287*$I$3</f>
        <v>1210.2357044531248</v>
      </c>
      <c r="J287" s="24">
        <f>I287*1.25</f>
        <v>1512.7946305664059</v>
      </c>
    </row>
    <row r="288" spans="1:10" ht="12">
      <c r="A288" s="44"/>
      <c r="B288" s="50" t="s">
        <v>4</v>
      </c>
      <c r="C288" s="46" t="s">
        <v>2</v>
      </c>
      <c r="D288" s="122">
        <v>9.5</v>
      </c>
      <c r="E288" s="47">
        <v>4</v>
      </c>
      <c r="F288" s="48">
        <v>10.36875</v>
      </c>
      <c r="G288" s="48">
        <f>F288*1.25</f>
        <v>12.9609375</v>
      </c>
      <c r="H288" s="22">
        <f>D288*1.15*(1+$H$3)*G288</f>
        <v>283.19648437499995</v>
      </c>
      <c r="I288" s="70">
        <f>H288*$I$3</f>
        <v>1455.3467332031248</v>
      </c>
      <c r="J288" s="24">
        <f>I288*1.25</f>
        <v>1819.183416503906</v>
      </c>
    </row>
    <row r="289" spans="1:10" ht="12">
      <c r="A289" s="44"/>
      <c r="B289" s="50" t="s">
        <v>64</v>
      </c>
      <c r="C289" s="46"/>
      <c r="D289" s="122"/>
      <c r="E289" s="47"/>
      <c r="F289" s="48"/>
      <c r="G289" s="48"/>
      <c r="H289" s="22"/>
      <c r="I289" s="23"/>
      <c r="J289" s="24"/>
    </row>
    <row r="290" spans="1:10" ht="12">
      <c r="A290" s="51"/>
      <c r="B290" s="52" t="s">
        <v>65</v>
      </c>
      <c r="C290" s="53"/>
      <c r="D290" s="123"/>
      <c r="E290" s="54"/>
      <c r="F290" s="55"/>
      <c r="G290" s="55"/>
      <c r="H290" s="33"/>
      <c r="I290" s="34"/>
      <c r="J290" s="35"/>
    </row>
    <row r="291" spans="1:10" ht="12">
      <c r="A291" s="44" t="s">
        <v>275</v>
      </c>
      <c r="B291" s="45" t="s">
        <v>62</v>
      </c>
      <c r="C291" s="46"/>
      <c r="D291" s="122"/>
      <c r="E291" s="47"/>
      <c r="F291" s="48"/>
      <c r="G291" s="48"/>
      <c r="H291" s="22"/>
      <c r="I291" s="23"/>
      <c r="J291" s="24"/>
    </row>
    <row r="292" spans="1:10" ht="12">
      <c r="A292" s="44"/>
      <c r="B292" s="50" t="s">
        <v>63</v>
      </c>
      <c r="C292" s="46" t="s">
        <v>25</v>
      </c>
      <c r="D292" s="122">
        <v>6.38</v>
      </c>
      <c r="E292" s="47">
        <v>4</v>
      </c>
      <c r="F292" s="48">
        <v>10.36875</v>
      </c>
      <c r="G292" s="48">
        <f>F292*1.25</f>
        <v>12.9609375</v>
      </c>
      <c r="H292" s="22">
        <f>D292*1.15*(1+$H$3)*G292</f>
        <v>190.18879687499998</v>
      </c>
      <c r="I292" s="23">
        <f>H292*$I$3</f>
        <v>977.3802271406249</v>
      </c>
      <c r="J292" s="24">
        <f>I292*1.25</f>
        <v>1221.7252839257812</v>
      </c>
    </row>
    <row r="293" spans="1:10" ht="12">
      <c r="A293" s="44"/>
      <c r="B293" s="50" t="s">
        <v>6</v>
      </c>
      <c r="C293" s="46" t="s">
        <v>2</v>
      </c>
      <c r="D293" s="122">
        <v>9.6</v>
      </c>
      <c r="E293" s="47">
        <v>4</v>
      </c>
      <c r="F293" s="48">
        <v>10.36875</v>
      </c>
      <c r="G293" s="48">
        <f>F293*1.25</f>
        <v>12.9609375</v>
      </c>
      <c r="H293" s="22">
        <f>D293*1.15*(1+$H$3)*G293</f>
        <v>286.17749999999995</v>
      </c>
      <c r="I293" s="23">
        <f>H293*$I$3</f>
        <v>1470.6661725</v>
      </c>
      <c r="J293" s="24">
        <f>I293*1.25</f>
        <v>1838.3327156249998</v>
      </c>
    </row>
    <row r="294" spans="1:10" ht="12">
      <c r="A294" s="44"/>
      <c r="B294" s="50" t="s">
        <v>7</v>
      </c>
      <c r="C294" s="46" t="s">
        <v>2</v>
      </c>
      <c r="D294" s="122">
        <v>12.8</v>
      </c>
      <c r="E294" s="47">
        <v>4</v>
      </c>
      <c r="F294" s="48">
        <v>10.36875</v>
      </c>
      <c r="G294" s="48">
        <f>F294*1.25</f>
        <v>12.9609375</v>
      </c>
      <c r="H294" s="22">
        <f>D294*1.15*(1+$H$3)*G294</f>
        <v>381.57</v>
      </c>
      <c r="I294" s="23">
        <f>H294*$I$3</f>
        <v>1960.88823</v>
      </c>
      <c r="J294" s="24">
        <f>I294*1.25</f>
        <v>2451.1102875</v>
      </c>
    </row>
    <row r="295" spans="1:10" ht="12">
      <c r="A295" s="44"/>
      <c r="B295" s="50" t="s">
        <v>8</v>
      </c>
      <c r="C295" s="46" t="s">
        <v>2</v>
      </c>
      <c r="D295" s="122">
        <v>17.8</v>
      </c>
      <c r="E295" s="47">
        <v>4</v>
      </c>
      <c r="F295" s="48">
        <v>10.36875</v>
      </c>
      <c r="G295" s="48">
        <f>F295*1.25</f>
        <v>12.9609375</v>
      </c>
      <c r="H295" s="22">
        <f>D295*1.15*(1+$H$3)*G295</f>
        <v>530.6207812499999</v>
      </c>
      <c r="I295" s="23">
        <f>H295*$I$3</f>
        <v>2726.86019484375</v>
      </c>
      <c r="J295" s="24">
        <f>I295*1.25</f>
        <v>3408.5752435546874</v>
      </c>
    </row>
    <row r="296" spans="1:10" ht="12">
      <c r="A296" s="44"/>
      <c r="B296" s="50" t="s">
        <v>4</v>
      </c>
      <c r="C296" s="46" t="s">
        <v>2</v>
      </c>
      <c r="D296" s="122">
        <v>24.4</v>
      </c>
      <c r="E296" s="47">
        <v>4</v>
      </c>
      <c r="F296" s="48">
        <v>10.36875</v>
      </c>
      <c r="G296" s="48">
        <f>F296*1.25</f>
        <v>12.9609375</v>
      </c>
      <c r="H296" s="22">
        <f>D296*1.15*(1+$H$3)*G296</f>
        <v>727.3678124999999</v>
      </c>
      <c r="I296" s="70">
        <f>H296*$I$3</f>
        <v>3737.9431884374994</v>
      </c>
      <c r="J296" s="24">
        <f>I296*1.25</f>
        <v>4672.428985546874</v>
      </c>
    </row>
    <row r="297" spans="1:10" ht="12">
      <c r="A297" s="44"/>
      <c r="B297" s="50" t="s">
        <v>64</v>
      </c>
      <c r="C297" s="46"/>
      <c r="D297" s="50"/>
      <c r="E297" s="47"/>
      <c r="F297" s="48"/>
      <c r="G297" s="48"/>
      <c r="H297" s="22"/>
      <c r="I297" s="23"/>
      <c r="J297" s="24"/>
    </row>
    <row r="298" spans="1:10" ht="12">
      <c r="A298" s="51"/>
      <c r="B298" s="52" t="s">
        <v>65</v>
      </c>
      <c r="C298" s="53"/>
      <c r="D298" s="52"/>
      <c r="E298" s="54"/>
      <c r="F298" s="55"/>
      <c r="G298" s="55"/>
      <c r="H298" s="33"/>
      <c r="I298" s="34"/>
      <c r="J298" s="35"/>
    </row>
    <row r="299" spans="1:10" ht="12">
      <c r="A299" s="44" t="s">
        <v>276</v>
      </c>
      <c r="B299" s="45" t="s">
        <v>114</v>
      </c>
      <c r="C299" s="46"/>
      <c r="D299" s="50"/>
      <c r="E299" s="47"/>
      <c r="F299" s="48"/>
      <c r="G299" s="48"/>
      <c r="H299" s="22"/>
      <c r="I299" s="23"/>
      <c r="J299" s="24"/>
    </row>
    <row r="300" spans="1:10" ht="12">
      <c r="A300" s="44"/>
      <c r="B300" s="71" t="s">
        <v>120</v>
      </c>
      <c r="C300" s="46" t="s">
        <v>116</v>
      </c>
      <c r="D300" s="122">
        <v>9.2</v>
      </c>
      <c r="E300" s="47">
        <v>2</v>
      </c>
      <c r="F300" s="48">
        <v>7.79625</v>
      </c>
      <c r="G300" s="48">
        <f>F300*1.25</f>
        <v>9.745312499999999</v>
      </c>
      <c r="H300" s="22">
        <f>D300*1.15*(1+$H$3)*G300</f>
        <v>206.21081249999995</v>
      </c>
      <c r="I300" s="23">
        <f>H300*$I$3</f>
        <v>1059.7173654374997</v>
      </c>
      <c r="J300" s="24">
        <f>I300*1.25</f>
        <v>1324.6467067968747</v>
      </c>
    </row>
    <row r="301" spans="1:10" ht="12">
      <c r="A301" s="44"/>
      <c r="B301" s="71" t="s">
        <v>115</v>
      </c>
      <c r="C301" s="46" t="s">
        <v>2</v>
      </c>
      <c r="D301" s="122">
        <v>8.28</v>
      </c>
      <c r="E301" s="47">
        <v>2</v>
      </c>
      <c r="F301" s="48">
        <v>7.79625</v>
      </c>
      <c r="G301" s="48">
        <f>F301*1.25</f>
        <v>9.745312499999999</v>
      </c>
      <c r="H301" s="22">
        <f>D301*1.15*(1+$H$3)*G301</f>
        <v>185.58973124999994</v>
      </c>
      <c r="I301" s="23">
        <f>H301*$I$3</f>
        <v>953.7456288937498</v>
      </c>
      <c r="J301" s="24">
        <f>I301*1.25</f>
        <v>1192.1820361171872</v>
      </c>
    </row>
    <row r="302" spans="1:10" ht="12">
      <c r="A302" s="51"/>
      <c r="B302" s="72" t="s">
        <v>117</v>
      </c>
      <c r="C302" s="53" t="s">
        <v>2</v>
      </c>
      <c r="D302" s="123">
        <v>3.3</v>
      </c>
      <c r="E302" s="54">
        <v>2</v>
      </c>
      <c r="F302" s="55">
        <v>7.79625</v>
      </c>
      <c r="G302" s="55">
        <f>F302*1.25</f>
        <v>9.745312499999999</v>
      </c>
      <c r="H302" s="33">
        <f>D302*1.15*(1+$H$3)*G302</f>
        <v>73.96692187499998</v>
      </c>
      <c r="I302" s="34">
        <f>H302*$I$3</f>
        <v>380.1160115156249</v>
      </c>
      <c r="J302" s="35">
        <f>I302*1.25</f>
        <v>475.14501439453113</v>
      </c>
    </row>
    <row r="303" spans="1:11" ht="12">
      <c r="A303" s="51" t="s">
        <v>277</v>
      </c>
      <c r="B303" s="73" t="s">
        <v>123</v>
      </c>
      <c r="C303" s="53" t="s">
        <v>124</v>
      </c>
      <c r="D303" s="123">
        <f>0.72*1.2</f>
        <v>0.864</v>
      </c>
      <c r="E303" s="54">
        <v>3</v>
      </c>
      <c r="F303" s="55">
        <v>9.355</v>
      </c>
      <c r="G303" s="55">
        <f>F303*1.25</f>
        <v>11.693750000000001</v>
      </c>
      <c r="H303" s="33">
        <f>D303*1.15*(1+$H$3)*G303</f>
        <v>23.237820000000003</v>
      </c>
      <c r="I303" s="34">
        <f>H303*$I$3</f>
        <v>119.41915698000003</v>
      </c>
      <c r="J303" s="35">
        <f>I303*1.25</f>
        <v>149.27394622500003</v>
      </c>
      <c r="K303" s="1" t="s">
        <v>26</v>
      </c>
    </row>
    <row r="304" spans="1:11" ht="12">
      <c r="A304" s="75" t="s">
        <v>278</v>
      </c>
      <c r="B304" s="76" t="s">
        <v>129</v>
      </c>
      <c r="C304" s="77" t="s">
        <v>124</v>
      </c>
      <c r="D304" s="133">
        <v>1.44</v>
      </c>
      <c r="E304" s="78">
        <v>3</v>
      </c>
      <c r="F304" s="79">
        <v>9.355</v>
      </c>
      <c r="G304" s="79">
        <f>F304*1.25</f>
        <v>11.693750000000001</v>
      </c>
      <c r="H304" s="80">
        <f>D304*1.15*(1+$H$3)*G304</f>
        <v>38.7297</v>
      </c>
      <c r="I304" s="81">
        <f>H304*$I$3</f>
        <v>199.0319283</v>
      </c>
      <c r="J304" s="74">
        <f>I304*1.25</f>
        <v>248.789910375</v>
      </c>
      <c r="K304" s="1" t="s">
        <v>26</v>
      </c>
    </row>
    <row r="305" spans="1:10" ht="12">
      <c r="A305" s="44" t="s">
        <v>279</v>
      </c>
      <c r="B305" s="88" t="s">
        <v>68</v>
      </c>
      <c r="C305" s="46"/>
      <c r="D305" s="122"/>
      <c r="E305" s="47"/>
      <c r="F305" s="48"/>
      <c r="G305" s="48"/>
      <c r="H305" s="22"/>
      <c r="I305" s="23"/>
      <c r="J305" s="24"/>
    </row>
    <row r="306" spans="1:10" ht="12">
      <c r="A306" s="44"/>
      <c r="B306" s="50" t="s">
        <v>209</v>
      </c>
      <c r="C306" s="46" t="s">
        <v>25</v>
      </c>
      <c r="D306" s="122">
        <f>1*1.2</f>
        <v>1.2</v>
      </c>
      <c r="E306" s="47">
        <v>2</v>
      </c>
      <c r="F306" s="48">
        <v>7.79625</v>
      </c>
      <c r="G306" s="48">
        <f>F306*1.25</f>
        <v>9.745312499999999</v>
      </c>
      <c r="H306" s="22">
        <f>D306*1.15*(1+$H$3)*G306</f>
        <v>26.897062499999993</v>
      </c>
      <c r="I306" s="23">
        <f>H306*$I$3</f>
        <v>138.2240041875</v>
      </c>
      <c r="J306" s="24">
        <f>I306*1.25</f>
        <v>172.78000523437498</v>
      </c>
    </row>
    <row r="307" spans="1:10" ht="12">
      <c r="A307" s="44"/>
      <c r="B307" s="50" t="s">
        <v>210</v>
      </c>
      <c r="C307" s="46" t="s">
        <v>2</v>
      </c>
      <c r="D307" s="122">
        <f>1.5*1.2</f>
        <v>1.7999999999999998</v>
      </c>
      <c r="E307" s="47">
        <v>2</v>
      </c>
      <c r="F307" s="48">
        <v>7.79625</v>
      </c>
      <c r="G307" s="48">
        <f>F307*1.25</f>
        <v>9.745312499999999</v>
      </c>
      <c r="H307" s="22">
        <f>D307*1.15*(1+$H$3)*G307</f>
        <v>40.34559374999999</v>
      </c>
      <c r="I307" s="23">
        <f>H307*$I$3</f>
        <v>207.33600628124998</v>
      </c>
      <c r="J307" s="24">
        <f>I307*1.25</f>
        <v>259.17000785156245</v>
      </c>
    </row>
    <row r="308" spans="1:10" ht="12">
      <c r="A308" s="44"/>
      <c r="B308" s="50" t="s">
        <v>6</v>
      </c>
      <c r="C308" s="46" t="s">
        <v>2</v>
      </c>
      <c r="D308" s="122">
        <f>1.93*1.2</f>
        <v>2.316</v>
      </c>
      <c r="E308" s="47">
        <v>2</v>
      </c>
      <c r="F308" s="48">
        <v>7.79625</v>
      </c>
      <c r="G308" s="48">
        <f>F308*1.25</f>
        <v>9.745312499999999</v>
      </c>
      <c r="H308" s="22">
        <f>D308*1.15*(1+$H$3)*G308</f>
        <v>51.91133062499999</v>
      </c>
      <c r="I308" s="23">
        <f>H308*$I$3</f>
        <v>266.77232808187495</v>
      </c>
      <c r="J308" s="24">
        <f>I308*1.25</f>
        <v>333.4654101023437</v>
      </c>
    </row>
    <row r="309" spans="1:10" ht="12">
      <c r="A309" s="44"/>
      <c r="B309" s="50" t="s">
        <v>211</v>
      </c>
      <c r="C309" s="46" t="s">
        <v>2</v>
      </c>
      <c r="D309" s="122">
        <f>3.7*1.2</f>
        <v>4.44</v>
      </c>
      <c r="E309" s="47">
        <v>2</v>
      </c>
      <c r="F309" s="48">
        <v>7.79625</v>
      </c>
      <c r="G309" s="48">
        <f>F309*1.25</f>
        <v>9.745312499999999</v>
      </c>
      <c r="H309" s="22">
        <f>D309*1.15*(1+$H$3)*G309</f>
        <v>99.51913124999999</v>
      </c>
      <c r="I309" s="23">
        <f>H309*$I$3</f>
        <v>511.42881549374994</v>
      </c>
      <c r="J309" s="24">
        <f>I309*1.25</f>
        <v>639.2860193671875</v>
      </c>
    </row>
    <row r="310" spans="1:10" ht="12">
      <c r="A310" s="44"/>
      <c r="B310" s="50" t="s">
        <v>212</v>
      </c>
      <c r="C310" s="46" t="s">
        <v>2</v>
      </c>
      <c r="D310" s="122">
        <f>5.9*1.2</f>
        <v>7.08</v>
      </c>
      <c r="E310" s="47">
        <v>2</v>
      </c>
      <c r="F310" s="48">
        <v>7.79625</v>
      </c>
      <c r="G310" s="48">
        <f>F310*1.25</f>
        <v>9.745312499999999</v>
      </c>
      <c r="H310" s="22">
        <f>D310*1.15*(1+$H$3)*G310</f>
        <v>158.69266874999997</v>
      </c>
      <c r="I310" s="23">
        <f>H310*$I$3</f>
        <v>815.5216247062499</v>
      </c>
      <c r="J310" s="24">
        <f>I310*1.25</f>
        <v>1019.4020308828124</v>
      </c>
    </row>
    <row r="311" spans="1:10" ht="12">
      <c r="A311" s="51"/>
      <c r="B311" s="52" t="s">
        <v>208</v>
      </c>
      <c r="C311" s="53"/>
      <c r="D311" s="123"/>
      <c r="E311" s="54"/>
      <c r="F311" s="55"/>
      <c r="G311" s="55"/>
      <c r="H311" s="33"/>
      <c r="I311" s="34"/>
      <c r="J311" s="35"/>
    </row>
    <row r="312" spans="1:10" ht="12">
      <c r="A312" s="44" t="s">
        <v>280</v>
      </c>
      <c r="B312" s="88" t="s">
        <v>144</v>
      </c>
      <c r="C312" s="46"/>
      <c r="D312" s="122"/>
      <c r="E312" s="47"/>
      <c r="F312" s="48"/>
      <c r="G312" s="48"/>
      <c r="H312" s="22"/>
      <c r="I312" s="23"/>
      <c r="J312" s="24"/>
    </row>
    <row r="313" spans="1:10" ht="12">
      <c r="A313" s="51"/>
      <c r="B313" s="52" t="s">
        <v>145</v>
      </c>
      <c r="C313" s="53" t="s">
        <v>146</v>
      </c>
      <c r="D313" s="123">
        <f>3.43*1.2</f>
        <v>4.116</v>
      </c>
      <c r="E313" s="54">
        <v>2</v>
      </c>
      <c r="F313" s="55">
        <v>7.79625</v>
      </c>
      <c r="G313" s="55">
        <f>F313*1.25</f>
        <v>9.745312499999999</v>
      </c>
      <c r="H313" s="33">
        <f>D313*1.15*(1+$H$3)*G313</f>
        <v>92.25692437499998</v>
      </c>
      <c r="I313" s="34">
        <f>H313*$I$3</f>
        <v>474.1083343631249</v>
      </c>
      <c r="J313" s="35">
        <f>I313*1.25</f>
        <v>592.6354179539062</v>
      </c>
    </row>
    <row r="314" spans="1:10" ht="12">
      <c r="A314" s="44" t="s">
        <v>34</v>
      </c>
      <c r="B314" s="88" t="s">
        <v>69</v>
      </c>
      <c r="C314" s="46"/>
      <c r="D314" s="122"/>
      <c r="E314" s="47"/>
      <c r="F314" s="48"/>
      <c r="G314" s="48"/>
      <c r="H314" s="22"/>
      <c r="I314" s="23"/>
      <c r="J314" s="24"/>
    </row>
    <row r="315" spans="1:10" ht="12">
      <c r="A315" s="44" t="s">
        <v>281</v>
      </c>
      <c r="B315" s="50" t="s">
        <v>70</v>
      </c>
      <c r="C315" s="46" t="s">
        <v>35</v>
      </c>
      <c r="D315" s="122">
        <f>0.33+0.29*1.2</f>
        <v>0.6779999999999999</v>
      </c>
      <c r="E315" s="47">
        <v>2</v>
      </c>
      <c r="F315" s="48">
        <v>7.79625</v>
      </c>
      <c r="G315" s="48">
        <f>F315*1.25</f>
        <v>9.745312499999999</v>
      </c>
      <c r="H315" s="22">
        <f>D315*1.15*(1+$H$3)*G315</f>
        <v>15.196840312499996</v>
      </c>
      <c r="I315" s="23">
        <f>H315*$I$3</f>
        <v>78.09656236593749</v>
      </c>
      <c r="J315" s="24">
        <f>I315*1.25</f>
        <v>97.62070295742186</v>
      </c>
    </row>
    <row r="316" spans="1:10" ht="12">
      <c r="A316" s="44" t="s">
        <v>282</v>
      </c>
      <c r="B316" s="1" t="s">
        <v>71</v>
      </c>
      <c r="C316" s="46" t="s">
        <v>2</v>
      </c>
      <c r="D316" s="123">
        <f>0.49+0.29*1.2</f>
        <v>0.838</v>
      </c>
      <c r="E316" s="47">
        <v>2</v>
      </c>
      <c r="F316" s="48">
        <v>7.79625</v>
      </c>
      <c r="G316" s="48">
        <f>F316*1.25</f>
        <v>9.745312499999999</v>
      </c>
      <c r="H316" s="22">
        <f>D316*1.15*(1+$H$3)*G316</f>
        <v>18.783115312499994</v>
      </c>
      <c r="I316" s="23">
        <f>H316*$I$3</f>
        <v>96.52642959093748</v>
      </c>
      <c r="J316" s="24">
        <f>I316*1.25</f>
        <v>120.65803698867185</v>
      </c>
    </row>
    <row r="317" spans="1:10" ht="12">
      <c r="A317" s="51"/>
      <c r="B317" s="52" t="s">
        <v>132</v>
      </c>
      <c r="C317" s="53"/>
      <c r="D317" s="123"/>
      <c r="E317" s="54"/>
      <c r="F317" s="55"/>
      <c r="G317" s="55"/>
      <c r="H317" s="33"/>
      <c r="I317" s="34"/>
      <c r="J317" s="35"/>
    </row>
    <row r="318" spans="1:11" ht="12">
      <c r="A318" s="75" t="s">
        <v>283</v>
      </c>
      <c r="B318" s="90" t="s">
        <v>21</v>
      </c>
      <c r="C318" s="77" t="s">
        <v>10</v>
      </c>
      <c r="D318" s="133">
        <v>1</v>
      </c>
      <c r="E318" s="78">
        <v>2</v>
      </c>
      <c r="F318" s="79">
        <v>7.79625</v>
      </c>
      <c r="G318" s="79">
        <f>F318*1.25</f>
        <v>9.745312499999999</v>
      </c>
      <c r="H318" s="80">
        <f>D318*1.15*(1+$H$3)*G318</f>
        <v>22.414218749999996</v>
      </c>
      <c r="I318" s="81">
        <f>H318*$I$3</f>
        <v>115.18667015624999</v>
      </c>
      <c r="J318" s="74">
        <f>I318*1.25</f>
        <v>143.98333769531249</v>
      </c>
      <c r="K318" s="1" t="s">
        <v>26</v>
      </c>
    </row>
    <row r="319" spans="1:11" ht="12">
      <c r="A319" s="75" t="s">
        <v>284</v>
      </c>
      <c r="B319" s="90" t="s">
        <v>22</v>
      </c>
      <c r="C319" s="77" t="s">
        <v>23</v>
      </c>
      <c r="D319" s="133">
        <v>1.8</v>
      </c>
      <c r="E319" s="78">
        <v>2</v>
      </c>
      <c r="F319" s="79">
        <v>7.79625</v>
      </c>
      <c r="G319" s="79">
        <f>F319*1.25</f>
        <v>9.745312499999999</v>
      </c>
      <c r="H319" s="80">
        <f>D319*1.15*(1+$H$3)*G319</f>
        <v>40.34559374999999</v>
      </c>
      <c r="I319" s="81">
        <f>H319*$I$3</f>
        <v>207.33600628124998</v>
      </c>
      <c r="J319" s="74">
        <f>I319*1.25</f>
        <v>259.17000785156245</v>
      </c>
      <c r="K319" s="1" t="s">
        <v>26</v>
      </c>
    </row>
    <row r="320" spans="1:10" ht="12">
      <c r="A320" s="44" t="s">
        <v>285</v>
      </c>
      <c r="B320" s="88" t="s">
        <v>72</v>
      </c>
      <c r="C320" s="46"/>
      <c r="D320" s="122">
        <v>2.76</v>
      </c>
      <c r="E320" s="47">
        <v>2</v>
      </c>
      <c r="F320" s="48">
        <v>7.79625</v>
      </c>
      <c r="G320" s="48">
        <f>F320*1.25</f>
        <v>9.745312499999999</v>
      </c>
      <c r="H320" s="22">
        <f>D320*1.15*(1+$H$3)*G320</f>
        <v>61.86324374999998</v>
      </c>
      <c r="I320" s="23">
        <f>H320*$I$3</f>
        <v>317.9152096312499</v>
      </c>
      <c r="J320" s="24">
        <f>I320*1.25</f>
        <v>397.39401203906243</v>
      </c>
    </row>
    <row r="321" spans="1:10" ht="12">
      <c r="A321" s="44"/>
      <c r="B321" s="50" t="s">
        <v>73</v>
      </c>
      <c r="C321" s="46"/>
      <c r="D321" s="122"/>
      <c r="E321" s="47"/>
      <c r="F321" s="48"/>
      <c r="G321" s="48"/>
      <c r="H321" s="22"/>
      <c r="I321" s="23"/>
      <c r="J321" s="24"/>
    </row>
    <row r="322" spans="1:10" ht="12">
      <c r="A322" s="51" t="s">
        <v>286</v>
      </c>
      <c r="B322" s="52" t="s">
        <v>3</v>
      </c>
      <c r="C322" s="53" t="s">
        <v>2</v>
      </c>
      <c r="D322" s="123">
        <v>1.76</v>
      </c>
      <c r="E322" s="54">
        <v>2</v>
      </c>
      <c r="F322" s="55">
        <v>7.79625</v>
      </c>
      <c r="G322" s="55">
        <f>F322*1.25</f>
        <v>9.745312499999999</v>
      </c>
      <c r="H322" s="33">
        <f>D322*1.15*(1+$H$3)*G322</f>
        <v>39.449025</v>
      </c>
      <c r="I322" s="34">
        <f>H322*$I$3</f>
        <v>202.728539475</v>
      </c>
      <c r="J322" s="35">
        <f>I322*1.25</f>
        <v>253.41067434374997</v>
      </c>
    </row>
    <row r="323" spans="1:10" ht="12">
      <c r="A323" s="44" t="s">
        <v>287</v>
      </c>
      <c r="B323" s="88" t="s">
        <v>74</v>
      </c>
      <c r="C323" s="46"/>
      <c r="D323" s="122"/>
      <c r="E323" s="47"/>
      <c r="F323" s="48"/>
      <c r="G323" s="48"/>
      <c r="H323" s="22"/>
      <c r="I323" s="23"/>
      <c r="J323" s="24"/>
    </row>
    <row r="324" spans="1:10" ht="12">
      <c r="A324" s="44"/>
      <c r="B324" s="50" t="s">
        <v>66</v>
      </c>
      <c r="C324" s="46" t="s">
        <v>119</v>
      </c>
      <c r="D324" s="122">
        <v>1.44</v>
      </c>
      <c r="E324" s="47">
        <v>3.4</v>
      </c>
      <c r="F324" s="48">
        <v>9.8625</v>
      </c>
      <c r="G324" s="48">
        <f aca="true" t="shared" si="8" ref="G324:G330">F324*1.25</f>
        <v>12.328125</v>
      </c>
      <c r="H324" s="22">
        <f aca="true" t="shared" si="9" ref="H324:H330">D324*1.15*(1+$H$3)*G324</f>
        <v>40.830749999999995</v>
      </c>
      <c r="I324" s="23">
        <f aca="true" t="shared" si="10" ref="I324:I330">H324*$I$3</f>
        <v>209.82922424999998</v>
      </c>
      <c r="J324" s="24">
        <f aca="true" t="shared" si="11" ref="J324:J330">I324*1.25</f>
        <v>262.28653031249996</v>
      </c>
    </row>
    <row r="325" spans="1:10" ht="12">
      <c r="A325" s="44"/>
      <c r="B325" s="50" t="s">
        <v>12</v>
      </c>
      <c r="C325" s="46" t="s">
        <v>2</v>
      </c>
      <c r="D325" s="122">
        <v>2.88</v>
      </c>
      <c r="E325" s="47">
        <v>3.4</v>
      </c>
      <c r="F325" s="48">
        <v>9.8625</v>
      </c>
      <c r="G325" s="48">
        <f t="shared" si="8"/>
        <v>12.328125</v>
      </c>
      <c r="H325" s="22">
        <f t="shared" si="9"/>
        <v>81.66149999999999</v>
      </c>
      <c r="I325" s="23">
        <f t="shared" si="10"/>
        <v>419.65844849999996</v>
      </c>
      <c r="J325" s="24">
        <f t="shared" si="11"/>
        <v>524.5730606249999</v>
      </c>
    </row>
    <row r="326" spans="1:10" ht="12">
      <c r="A326" s="44"/>
      <c r="B326" s="50" t="s">
        <v>8</v>
      </c>
      <c r="C326" s="46" t="s">
        <v>2</v>
      </c>
      <c r="D326" s="122">
        <v>4.32</v>
      </c>
      <c r="E326" s="47">
        <v>3.4</v>
      </c>
      <c r="F326" s="48">
        <v>9.8625</v>
      </c>
      <c r="G326" s="48">
        <f t="shared" si="8"/>
        <v>12.328125</v>
      </c>
      <c r="H326" s="22">
        <f t="shared" si="9"/>
        <v>122.49225</v>
      </c>
      <c r="I326" s="23">
        <f t="shared" si="10"/>
        <v>629.48767275</v>
      </c>
      <c r="J326" s="24">
        <f t="shared" si="11"/>
        <v>786.8595909375</v>
      </c>
    </row>
    <row r="327" spans="1:10" ht="12">
      <c r="A327" s="51"/>
      <c r="B327" s="52" t="s">
        <v>4</v>
      </c>
      <c r="C327" s="53" t="s">
        <v>2</v>
      </c>
      <c r="D327" s="123">
        <v>8.64</v>
      </c>
      <c r="E327" s="54">
        <v>3.4</v>
      </c>
      <c r="F327" s="55">
        <v>9.8625</v>
      </c>
      <c r="G327" s="55">
        <f t="shared" si="8"/>
        <v>12.328125</v>
      </c>
      <c r="H327" s="33">
        <f t="shared" si="9"/>
        <v>244.9845</v>
      </c>
      <c r="I327" s="34">
        <f t="shared" si="10"/>
        <v>1258.9753455</v>
      </c>
      <c r="J327" s="35">
        <f t="shared" si="11"/>
        <v>1573.719181875</v>
      </c>
    </row>
    <row r="328" spans="1:11" ht="12">
      <c r="A328" s="75" t="s">
        <v>288</v>
      </c>
      <c r="B328" s="90" t="s">
        <v>13</v>
      </c>
      <c r="C328" s="77" t="s">
        <v>10</v>
      </c>
      <c r="D328" s="133">
        <v>1</v>
      </c>
      <c r="E328" s="78">
        <v>2</v>
      </c>
      <c r="F328" s="79">
        <v>7.79625</v>
      </c>
      <c r="G328" s="79">
        <f t="shared" si="8"/>
        <v>9.745312499999999</v>
      </c>
      <c r="H328" s="80">
        <f t="shared" si="9"/>
        <v>22.414218749999996</v>
      </c>
      <c r="I328" s="81">
        <f t="shared" si="10"/>
        <v>115.18667015624999</v>
      </c>
      <c r="J328" s="74">
        <f t="shared" si="11"/>
        <v>143.98333769531249</v>
      </c>
      <c r="K328" s="1" t="s">
        <v>26</v>
      </c>
    </row>
    <row r="329" spans="1:10" ht="12">
      <c r="A329" s="75" t="s">
        <v>289</v>
      </c>
      <c r="B329" s="90" t="s">
        <v>14</v>
      </c>
      <c r="C329" s="77" t="s">
        <v>11</v>
      </c>
      <c r="D329" s="133">
        <v>0.32</v>
      </c>
      <c r="E329" s="78">
        <v>2</v>
      </c>
      <c r="F329" s="79">
        <v>7.79625</v>
      </c>
      <c r="G329" s="79">
        <f t="shared" si="8"/>
        <v>9.745312499999999</v>
      </c>
      <c r="H329" s="80">
        <f t="shared" si="9"/>
        <v>7.172549999999999</v>
      </c>
      <c r="I329" s="81">
        <f t="shared" si="10"/>
        <v>36.85973445</v>
      </c>
      <c r="J329" s="74">
        <f t="shared" si="11"/>
        <v>46.074668062499995</v>
      </c>
    </row>
    <row r="330" spans="1:10" ht="12">
      <c r="A330" s="75" t="s">
        <v>290</v>
      </c>
      <c r="B330" s="90" t="s">
        <v>75</v>
      </c>
      <c r="C330" s="77" t="s">
        <v>10</v>
      </c>
      <c r="D330" s="133">
        <v>0.63</v>
      </c>
      <c r="E330" s="78">
        <v>2</v>
      </c>
      <c r="F330" s="79">
        <v>7.79625</v>
      </c>
      <c r="G330" s="79">
        <f t="shared" si="8"/>
        <v>9.745312499999999</v>
      </c>
      <c r="H330" s="80">
        <f t="shared" si="9"/>
        <v>14.120957812499997</v>
      </c>
      <c r="I330" s="81">
        <f t="shared" si="10"/>
        <v>72.56760219843748</v>
      </c>
      <c r="J330" s="74">
        <f t="shared" si="11"/>
        <v>90.70950274804686</v>
      </c>
    </row>
    <row r="331" spans="1:10" s="17" customFormat="1" ht="12">
      <c r="A331" s="20" t="s">
        <v>34</v>
      </c>
      <c r="B331" s="89" t="s">
        <v>76</v>
      </c>
      <c r="C331" s="12"/>
      <c r="D331" s="14"/>
      <c r="E331" s="121"/>
      <c r="F331" s="14"/>
      <c r="G331" s="14"/>
      <c r="H331" s="14"/>
      <c r="I331" s="15"/>
      <c r="J331" s="82"/>
    </row>
    <row r="332" spans="1:10" s="17" customFormat="1" ht="12">
      <c r="A332" s="20" t="s">
        <v>291</v>
      </c>
      <c r="B332" s="89" t="s">
        <v>77</v>
      </c>
      <c r="C332" s="12"/>
      <c r="D332" s="14"/>
      <c r="E332" s="121"/>
      <c r="F332" s="14"/>
      <c r="G332" s="14"/>
      <c r="H332" s="14"/>
      <c r="I332" s="15"/>
      <c r="J332" s="82"/>
    </row>
    <row r="333" spans="1:10" s="17" customFormat="1" ht="12">
      <c r="A333" s="20"/>
      <c r="B333" s="20" t="s">
        <v>78</v>
      </c>
      <c r="C333" s="12" t="s">
        <v>79</v>
      </c>
      <c r="D333" s="14">
        <f>1.43*1.2</f>
        <v>1.716</v>
      </c>
      <c r="E333" s="13" t="s">
        <v>80</v>
      </c>
      <c r="F333" s="14">
        <v>10.415</v>
      </c>
      <c r="G333" s="14">
        <f>F333*1.25</f>
        <v>13.018749999999999</v>
      </c>
      <c r="H333" s="22">
        <f>D333*1.15*(1+$H$3)*G333</f>
        <v>51.38240249999999</v>
      </c>
      <c r="I333" s="57">
        <f>H333*$I$3</f>
        <v>264.05416644749994</v>
      </c>
      <c r="J333" s="24">
        <f>I333*1.25</f>
        <v>330.0677080593749</v>
      </c>
    </row>
    <row r="334" spans="1:10" s="17" customFormat="1" ht="12">
      <c r="A334" s="20"/>
      <c r="B334" s="20" t="s">
        <v>81</v>
      </c>
      <c r="C334" s="12" t="s">
        <v>39</v>
      </c>
      <c r="D334" s="14">
        <f>1.9*1.2</f>
        <v>2.28</v>
      </c>
      <c r="E334" s="13" t="s">
        <v>80</v>
      </c>
      <c r="F334" s="14">
        <v>10.415</v>
      </c>
      <c r="G334" s="14">
        <f>F334*1.25</f>
        <v>13.018749999999999</v>
      </c>
      <c r="H334" s="22">
        <f>D334*1.15*(1+$H$3)*G334</f>
        <v>68.27032499999999</v>
      </c>
      <c r="I334" s="23">
        <f>H334*$I$3</f>
        <v>350.8412001749999</v>
      </c>
      <c r="J334" s="24">
        <f>I334*1.25</f>
        <v>438.5515002187499</v>
      </c>
    </row>
    <row r="335" spans="1:10" s="17" customFormat="1" ht="12">
      <c r="A335" s="20" t="s">
        <v>292</v>
      </c>
      <c r="B335" s="89" t="s">
        <v>82</v>
      </c>
      <c r="C335" s="12"/>
      <c r="D335" s="14"/>
      <c r="E335" s="121"/>
      <c r="F335" s="14"/>
      <c r="G335" s="14"/>
      <c r="H335" s="14"/>
      <c r="I335" s="15"/>
      <c r="J335" s="82"/>
    </row>
    <row r="336" spans="1:10" s="17" customFormat="1" ht="12">
      <c r="A336" s="20"/>
      <c r="B336" s="20" t="s">
        <v>78</v>
      </c>
      <c r="C336" s="12" t="s">
        <v>79</v>
      </c>
      <c r="D336" s="14">
        <f>0.75*1.2</f>
        <v>0.8999999999999999</v>
      </c>
      <c r="E336" s="120">
        <v>3</v>
      </c>
      <c r="F336" s="14">
        <v>9.355</v>
      </c>
      <c r="G336" s="14">
        <f>F336*1.25</f>
        <v>11.693750000000001</v>
      </c>
      <c r="H336" s="22">
        <f>D336*1.15*(1+$H$3)*G336</f>
        <v>24.2060625</v>
      </c>
      <c r="I336" s="23">
        <f>H336*$I$3</f>
        <v>124.39495518750002</v>
      </c>
      <c r="J336" s="24">
        <f>I336*1.25</f>
        <v>155.49369398437503</v>
      </c>
    </row>
    <row r="337" spans="1:10" s="17" customFormat="1" ht="12">
      <c r="A337" s="29"/>
      <c r="B337" s="29" t="s">
        <v>83</v>
      </c>
      <c r="C337" s="30" t="s">
        <v>39</v>
      </c>
      <c r="D337" s="32">
        <f>0.83*1.2</f>
        <v>0.9959999999999999</v>
      </c>
      <c r="E337" s="130">
        <v>3</v>
      </c>
      <c r="F337" s="32">
        <v>9.355</v>
      </c>
      <c r="G337" s="32">
        <f>F337*1.25</f>
        <v>11.693750000000001</v>
      </c>
      <c r="H337" s="33">
        <f>D337*1.15*(1+$H$3)*G337</f>
        <v>26.788042499999996</v>
      </c>
      <c r="I337" s="34">
        <f>H337*$I$3</f>
        <v>137.66375040749998</v>
      </c>
      <c r="J337" s="35">
        <f>I337*1.25</f>
        <v>172.07968800937496</v>
      </c>
    </row>
    <row r="338" spans="1:10" s="17" customFormat="1" ht="12">
      <c r="A338" s="20" t="s">
        <v>293</v>
      </c>
      <c r="B338" s="89" t="s">
        <v>197</v>
      </c>
      <c r="C338" s="12"/>
      <c r="D338" s="14"/>
      <c r="E338" s="121"/>
      <c r="F338" s="14"/>
      <c r="G338" s="14"/>
      <c r="H338" s="14"/>
      <c r="I338" s="15"/>
      <c r="J338" s="82"/>
    </row>
    <row r="339" spans="1:10" s="17" customFormat="1" ht="12">
      <c r="A339" s="20"/>
      <c r="B339" s="20" t="s">
        <v>199</v>
      </c>
      <c r="C339" s="12" t="s">
        <v>198</v>
      </c>
      <c r="D339" s="14">
        <f>2.02*1.2</f>
        <v>2.424</v>
      </c>
      <c r="E339" s="13" t="s">
        <v>80</v>
      </c>
      <c r="F339" s="14">
        <v>10.415</v>
      </c>
      <c r="G339" s="14">
        <f>F339*1.25</f>
        <v>13.018749999999999</v>
      </c>
      <c r="H339" s="22">
        <f>D339*1.15*(1+$H$3)*G339</f>
        <v>72.582135</v>
      </c>
      <c r="I339" s="57">
        <f>H339*$I$3</f>
        <v>372.999591765</v>
      </c>
      <c r="J339" s="24">
        <f>I339*1.25</f>
        <v>466.24948970624996</v>
      </c>
    </row>
    <row r="340" spans="1:10" s="17" customFormat="1" ht="12">
      <c r="A340" s="20"/>
      <c r="B340" s="20" t="s">
        <v>200</v>
      </c>
      <c r="C340" s="12" t="s">
        <v>39</v>
      </c>
      <c r="D340" s="14">
        <f>2.63*1.2</f>
        <v>3.1559999999999997</v>
      </c>
      <c r="E340" s="13" t="s">
        <v>80</v>
      </c>
      <c r="F340" s="14">
        <v>10.415</v>
      </c>
      <c r="G340" s="14">
        <f>F340*1.25</f>
        <v>13.018749999999999</v>
      </c>
      <c r="H340" s="22">
        <f>D340*1.15*(1+$H$3)*G340</f>
        <v>94.50050249999998</v>
      </c>
      <c r="I340" s="57">
        <f>H340*$I$3</f>
        <v>485.6380823474999</v>
      </c>
      <c r="J340" s="24">
        <f>I340*1.25</f>
        <v>607.0476029343749</v>
      </c>
    </row>
    <row r="341" spans="1:10" s="17" customFormat="1" ht="12">
      <c r="A341" s="29"/>
      <c r="B341" s="29" t="s">
        <v>201</v>
      </c>
      <c r="C341" s="30" t="s">
        <v>39</v>
      </c>
      <c r="D341" s="32">
        <f>3.28*1.2</f>
        <v>3.9359999999999995</v>
      </c>
      <c r="E341" s="31" t="s">
        <v>80</v>
      </c>
      <c r="F341" s="32">
        <v>10.415</v>
      </c>
      <c r="G341" s="32">
        <f>F341*1.25</f>
        <v>13.018749999999999</v>
      </c>
      <c r="H341" s="33">
        <f>D341*1.15*(1+$H$3)*G341</f>
        <v>117.85613999999997</v>
      </c>
      <c r="I341" s="87">
        <f>H341*$I$3</f>
        <v>605.6627034599999</v>
      </c>
      <c r="J341" s="35">
        <f>I341*1.25</f>
        <v>757.0783793249998</v>
      </c>
    </row>
    <row r="342" spans="1:10" s="91" customFormat="1" ht="12.75">
      <c r="A342" s="20" t="s">
        <v>296</v>
      </c>
      <c r="B342" s="89" t="s">
        <v>333</v>
      </c>
      <c r="C342" s="12" t="s">
        <v>294</v>
      </c>
      <c r="D342" s="14">
        <v>2.3</v>
      </c>
      <c r="E342" s="13">
        <v>4</v>
      </c>
      <c r="F342" s="14">
        <v>10.36875</v>
      </c>
      <c r="G342" s="14">
        <f>F342*1.25</f>
        <v>12.9609375</v>
      </c>
      <c r="H342" s="22">
        <f>D342*1.15*(1+$H$3)*G342</f>
        <v>68.56335937499999</v>
      </c>
      <c r="I342" s="57">
        <f>H342*$I$3</f>
        <v>352.34710382812494</v>
      </c>
      <c r="J342" s="24">
        <f>I342*1.25</f>
        <v>440.4338797851562</v>
      </c>
    </row>
    <row r="343" spans="1:10" s="91" customFormat="1" ht="13.5" thickBot="1">
      <c r="A343" s="29"/>
      <c r="B343" s="29" t="s">
        <v>295</v>
      </c>
      <c r="C343" s="30" t="s">
        <v>294</v>
      </c>
      <c r="D343" s="32">
        <v>3.5</v>
      </c>
      <c r="E343" s="31">
        <v>4</v>
      </c>
      <c r="F343" s="32">
        <v>10.36875</v>
      </c>
      <c r="G343" s="32">
        <f>F343*1.25</f>
        <v>12.9609375</v>
      </c>
      <c r="H343" s="33">
        <f>D343*1.15*(1+$H$3)*G343</f>
        <v>104.33554687499999</v>
      </c>
      <c r="I343" s="87">
        <f>H343*$I$3</f>
        <v>536.1803753906249</v>
      </c>
      <c r="J343" s="35">
        <f>I343*1.25</f>
        <v>670.2254692382812</v>
      </c>
    </row>
    <row r="344" spans="5:10" s="9" customFormat="1" ht="12.75" thickBot="1">
      <c r="E344" s="8">
        <v>5</v>
      </c>
      <c r="F344" s="8">
        <v>6</v>
      </c>
      <c r="G344" s="8">
        <v>6</v>
      </c>
      <c r="H344" s="94">
        <v>7</v>
      </c>
      <c r="I344" s="8">
        <v>4</v>
      </c>
      <c r="J344" s="7" t="s">
        <v>84</v>
      </c>
    </row>
    <row r="345" spans="1:10" s="9" customFormat="1" ht="12">
      <c r="A345" s="112"/>
      <c r="B345" s="113"/>
      <c r="C345" s="113"/>
      <c r="D345" s="113"/>
      <c r="E345" s="113"/>
      <c r="F345" s="113"/>
      <c r="G345" s="113"/>
      <c r="H345" s="113"/>
      <c r="I345" s="113"/>
      <c r="J345" s="112"/>
    </row>
    <row r="346" spans="1:10" s="9" customFormat="1" ht="15.75">
      <c r="A346" s="117" t="s">
        <v>339</v>
      </c>
      <c r="J346" s="116"/>
    </row>
    <row r="347" spans="1:10" s="9" customFormat="1" ht="15.75">
      <c r="A347" s="117" t="s">
        <v>336</v>
      </c>
      <c r="J347" s="116"/>
    </row>
    <row r="348" spans="1:10" s="9" customFormat="1" ht="15.75">
      <c r="A348" s="117" t="s">
        <v>337</v>
      </c>
      <c r="J348" s="116"/>
    </row>
    <row r="349" spans="1:10" s="9" customFormat="1" ht="16.5" thickBot="1">
      <c r="A349" s="117"/>
      <c r="J349" s="116"/>
    </row>
    <row r="350" spans="1:10" s="9" customFormat="1" ht="12.75" thickBot="1">
      <c r="A350" s="7" t="s">
        <v>20</v>
      </c>
      <c r="B350" s="8">
        <v>2</v>
      </c>
      <c r="C350" s="8">
        <v>3</v>
      </c>
      <c r="D350" s="8">
        <v>4</v>
      </c>
      <c r="E350" s="115"/>
      <c r="F350" s="115"/>
      <c r="G350" s="115"/>
      <c r="H350" s="115"/>
      <c r="I350" s="115"/>
      <c r="J350" s="114"/>
    </row>
    <row r="351" spans="1:10" s="17" customFormat="1" ht="12">
      <c r="A351" s="20" t="s">
        <v>324</v>
      </c>
      <c r="B351" s="89" t="s">
        <v>321</v>
      </c>
      <c r="C351" s="12"/>
      <c r="D351" s="14"/>
      <c r="E351" s="121"/>
      <c r="F351" s="14"/>
      <c r="G351" s="14"/>
      <c r="H351" s="14"/>
      <c r="I351" s="82"/>
      <c r="J351" s="82"/>
    </row>
    <row r="352" spans="1:10" s="17" customFormat="1" ht="13.5">
      <c r="A352" s="20"/>
      <c r="B352" s="20" t="s">
        <v>306</v>
      </c>
      <c r="C352" s="12" t="s">
        <v>311</v>
      </c>
      <c r="D352" s="14">
        <v>1.32</v>
      </c>
      <c r="E352" s="120">
        <v>3</v>
      </c>
      <c r="F352" s="14">
        <v>9.355</v>
      </c>
      <c r="G352" s="14">
        <f>F352*1.25</f>
        <v>11.693750000000001</v>
      </c>
      <c r="H352" s="22">
        <f>D352*1.15*(1+$H$3)*G352</f>
        <v>35.502225</v>
      </c>
      <c r="I352" s="24">
        <f>H352*$I$3</f>
        <v>182.445934275</v>
      </c>
      <c r="J352" s="24">
        <f>I352*1.25</f>
        <v>228.05741784375002</v>
      </c>
    </row>
    <row r="353" spans="1:10" s="17" customFormat="1" ht="13.5">
      <c r="A353" s="20"/>
      <c r="B353" s="20" t="s">
        <v>307</v>
      </c>
      <c r="C353" s="12" t="s">
        <v>311</v>
      </c>
      <c r="D353" s="14">
        <v>1.56</v>
      </c>
      <c r="E353" s="120">
        <v>3</v>
      </c>
      <c r="F353" s="14">
        <v>9.355</v>
      </c>
      <c r="G353" s="14">
        <f>F353*1.25</f>
        <v>11.693750000000001</v>
      </c>
      <c r="H353" s="22">
        <f>D353*1.15*(1+$H$3)*G353</f>
        <v>41.957175</v>
      </c>
      <c r="I353" s="24">
        <f>H353*$I$3</f>
        <v>215.617922325</v>
      </c>
      <c r="J353" s="24">
        <f>I353*1.25</f>
        <v>269.52240290625</v>
      </c>
    </row>
    <row r="354" spans="1:10" s="17" customFormat="1" ht="13.5">
      <c r="A354" s="20"/>
      <c r="B354" s="20" t="s">
        <v>308</v>
      </c>
      <c r="C354" s="12" t="s">
        <v>311</v>
      </c>
      <c r="D354" s="14">
        <v>1.8</v>
      </c>
      <c r="E354" s="120">
        <v>3</v>
      </c>
      <c r="F354" s="14">
        <v>9.355</v>
      </c>
      <c r="G354" s="14">
        <f>F354*1.25</f>
        <v>11.693750000000001</v>
      </c>
      <c r="H354" s="22">
        <f>D354*1.15*(1+$H$3)*G354</f>
        <v>48.412125</v>
      </c>
      <c r="I354" s="24">
        <f>H354*$I$3</f>
        <v>248.78991037500003</v>
      </c>
      <c r="J354" s="24">
        <f>I354*1.25</f>
        <v>310.98738796875006</v>
      </c>
    </row>
    <row r="355" spans="1:10" s="17" customFormat="1" ht="13.5">
      <c r="A355" s="20"/>
      <c r="B355" s="20" t="s">
        <v>309</v>
      </c>
      <c r="C355" s="12" t="s">
        <v>311</v>
      </c>
      <c r="D355" s="14">
        <v>2.04</v>
      </c>
      <c r="E355" s="120">
        <v>3</v>
      </c>
      <c r="F355" s="14">
        <v>9.355</v>
      </c>
      <c r="G355" s="14">
        <f>F355*1.25</f>
        <v>11.693750000000001</v>
      </c>
      <c r="H355" s="22">
        <f>D355*1.15*(1+$H$3)*G355</f>
        <v>54.867075</v>
      </c>
      <c r="I355" s="24">
        <f>H355*$I$3</f>
        <v>281.961898425</v>
      </c>
      <c r="J355" s="24">
        <f>I355*1.25</f>
        <v>352.45237303125003</v>
      </c>
    </row>
    <row r="356" spans="1:10" s="17" customFormat="1" ht="12.75" thickBot="1">
      <c r="A356" s="37"/>
      <c r="B356" s="37" t="s">
        <v>322</v>
      </c>
      <c r="C356" s="38"/>
      <c r="D356" s="119"/>
      <c r="E356" s="131"/>
      <c r="F356" s="40"/>
      <c r="G356" s="40"/>
      <c r="H356" s="104"/>
      <c r="I356" s="43"/>
      <c r="J356" s="43"/>
    </row>
    <row r="357" spans="1:10" s="17" customFormat="1" ht="12">
      <c r="A357" s="20" t="s">
        <v>325</v>
      </c>
      <c r="B357" s="89" t="s">
        <v>312</v>
      </c>
      <c r="C357" s="12"/>
      <c r="D357" s="21"/>
      <c r="E357" s="14"/>
      <c r="F357" s="14"/>
      <c r="G357" s="14"/>
      <c r="H357" s="14"/>
      <c r="I357" s="82"/>
      <c r="J357" s="82"/>
    </row>
    <row r="358" spans="1:10" s="17" customFormat="1" ht="13.5">
      <c r="A358" s="20"/>
      <c r="B358" s="20" t="s">
        <v>298</v>
      </c>
      <c r="C358" s="12" t="s">
        <v>297</v>
      </c>
      <c r="D358" s="121">
        <v>0.396</v>
      </c>
      <c r="E358" s="25">
        <v>3</v>
      </c>
      <c r="F358" s="14">
        <v>9.355</v>
      </c>
      <c r="G358" s="14">
        <f>F358*1.25</f>
        <v>11.693750000000001</v>
      </c>
      <c r="H358" s="22">
        <f>D358*1.15*(1+$H$3)*G358</f>
        <v>10.6506675</v>
      </c>
      <c r="I358" s="24">
        <f>H358*$I$3</f>
        <v>54.73378028250001</v>
      </c>
      <c r="J358" s="24">
        <f>I358*1.25</f>
        <v>68.417225353125</v>
      </c>
    </row>
    <row r="359" spans="1:10" s="17" customFormat="1" ht="13.5">
      <c r="A359" s="20"/>
      <c r="B359" s="20" t="s">
        <v>299</v>
      </c>
      <c r="C359" s="12" t="s">
        <v>297</v>
      </c>
      <c r="D359" s="121">
        <v>0.504</v>
      </c>
      <c r="E359" s="25">
        <v>3</v>
      </c>
      <c r="F359" s="14">
        <v>9.355</v>
      </c>
      <c r="G359" s="14">
        <f>F359*1.25</f>
        <v>11.693750000000001</v>
      </c>
      <c r="H359" s="22">
        <f>D359*1.15*(1+$H$3)*G359</f>
        <v>13.555395000000003</v>
      </c>
      <c r="I359" s="24">
        <f>H359*$I$3</f>
        <v>69.66117490500001</v>
      </c>
      <c r="J359" s="24">
        <f>I359*1.25</f>
        <v>87.07646863125001</v>
      </c>
    </row>
    <row r="360" spans="1:10" s="17" customFormat="1" ht="13.5">
      <c r="A360" s="20"/>
      <c r="B360" s="20" t="s">
        <v>300</v>
      </c>
      <c r="C360" s="12" t="s">
        <v>297</v>
      </c>
      <c r="D360" s="121">
        <v>0.696</v>
      </c>
      <c r="E360" s="25">
        <v>3</v>
      </c>
      <c r="F360" s="14">
        <v>9.355</v>
      </c>
      <c r="G360" s="14">
        <f>F360*1.25</f>
        <v>11.693750000000001</v>
      </c>
      <c r="H360" s="22">
        <f>D360*1.15*(1+$H$3)*G360</f>
        <v>18.719355</v>
      </c>
      <c r="I360" s="24">
        <f>H360*$I$3</f>
        <v>96.19876534500001</v>
      </c>
      <c r="J360" s="24">
        <f>I360*1.25</f>
        <v>120.24845668125002</v>
      </c>
    </row>
    <row r="361" spans="1:10" s="17" customFormat="1" ht="13.5">
      <c r="A361" s="29"/>
      <c r="B361" s="29" t="s">
        <v>301</v>
      </c>
      <c r="C361" s="30" t="s">
        <v>297</v>
      </c>
      <c r="D361" s="125">
        <v>0.9</v>
      </c>
      <c r="E361" s="92">
        <v>3</v>
      </c>
      <c r="F361" s="32">
        <v>9.355</v>
      </c>
      <c r="G361" s="32">
        <f>F361*1.25</f>
        <v>11.693750000000001</v>
      </c>
      <c r="H361" s="33">
        <f>D361*1.15*(1+$H$3)*G361</f>
        <v>24.2060625</v>
      </c>
      <c r="I361" s="35">
        <f>H361*$I$3</f>
        <v>124.39495518750002</v>
      </c>
      <c r="J361" s="35">
        <f>I361*1.25</f>
        <v>155.49369398437503</v>
      </c>
    </row>
    <row r="362" spans="1:10" s="17" customFormat="1" ht="12">
      <c r="A362" s="20" t="s">
        <v>326</v>
      </c>
      <c r="B362" s="89" t="s">
        <v>302</v>
      </c>
      <c r="C362" s="12"/>
      <c r="D362" s="121"/>
      <c r="E362" s="14"/>
      <c r="F362" s="14"/>
      <c r="G362" s="14"/>
      <c r="H362" s="14"/>
      <c r="I362" s="82"/>
      <c r="J362" s="82"/>
    </row>
    <row r="363" spans="1:10" s="17" customFormat="1" ht="13.5">
      <c r="A363" s="20"/>
      <c r="B363" s="20" t="s">
        <v>298</v>
      </c>
      <c r="C363" s="12" t="s">
        <v>303</v>
      </c>
      <c r="D363" s="121">
        <v>1.08</v>
      </c>
      <c r="E363" s="25">
        <v>3</v>
      </c>
      <c r="F363" s="14">
        <v>9.355</v>
      </c>
      <c r="G363" s="14">
        <f>F363*1.25</f>
        <v>11.693750000000001</v>
      </c>
      <c r="H363" s="22">
        <f>D363*1.15*(1+$H$3)*G363</f>
        <v>29.047275000000003</v>
      </c>
      <c r="I363" s="24">
        <f>H363*$I$3</f>
        <v>149.27394622500003</v>
      </c>
      <c r="J363" s="24">
        <f>I363*1.25</f>
        <v>186.59243278125004</v>
      </c>
    </row>
    <row r="364" spans="1:10" s="17" customFormat="1" ht="13.5">
      <c r="A364" s="20"/>
      <c r="B364" s="20" t="s">
        <v>299</v>
      </c>
      <c r="C364" s="12" t="s">
        <v>303</v>
      </c>
      <c r="D364" s="121">
        <v>1.56</v>
      </c>
      <c r="E364" s="25">
        <v>3</v>
      </c>
      <c r="F364" s="14">
        <v>9.355</v>
      </c>
      <c r="G364" s="14">
        <f>F364*1.25</f>
        <v>11.693750000000001</v>
      </c>
      <c r="H364" s="22">
        <f>D364*1.15*(1+$H$3)*G364</f>
        <v>41.957175</v>
      </c>
      <c r="I364" s="24">
        <f>H364*$I$3</f>
        <v>215.617922325</v>
      </c>
      <c r="J364" s="24">
        <f>I364*1.25</f>
        <v>269.52240290625</v>
      </c>
    </row>
    <row r="365" spans="1:10" s="17" customFormat="1" ht="13.5">
      <c r="A365" s="20"/>
      <c r="B365" s="20" t="s">
        <v>300</v>
      </c>
      <c r="C365" s="12" t="s">
        <v>303</v>
      </c>
      <c r="D365" s="121">
        <v>2.4</v>
      </c>
      <c r="E365" s="25">
        <v>3</v>
      </c>
      <c r="F365" s="14">
        <v>9.355</v>
      </c>
      <c r="G365" s="14">
        <f>F365*1.25</f>
        <v>11.693750000000001</v>
      </c>
      <c r="H365" s="22">
        <f>D365*1.15*(1+$H$3)*G365</f>
        <v>64.54950000000001</v>
      </c>
      <c r="I365" s="24">
        <f>H365*$I$3</f>
        <v>331.71988050000004</v>
      </c>
      <c r="J365" s="24">
        <f>I365*1.25</f>
        <v>414.64985062500006</v>
      </c>
    </row>
    <row r="366" spans="1:10" s="17" customFormat="1" ht="13.5">
      <c r="A366" s="29"/>
      <c r="B366" s="29" t="s">
        <v>301</v>
      </c>
      <c r="C366" s="30" t="s">
        <v>303</v>
      </c>
      <c r="D366" s="125">
        <v>3.48</v>
      </c>
      <c r="E366" s="92">
        <v>3</v>
      </c>
      <c r="F366" s="32">
        <v>9.355</v>
      </c>
      <c r="G366" s="32">
        <f>F366*1.25</f>
        <v>11.693750000000001</v>
      </c>
      <c r="H366" s="33">
        <f>D366*1.15*(1+$H$3)*G366</f>
        <v>93.59677500000001</v>
      </c>
      <c r="I366" s="35">
        <f>H366*$I$3</f>
        <v>480.9938267250001</v>
      </c>
      <c r="J366" s="35">
        <f>I366*1.25</f>
        <v>601.2422834062501</v>
      </c>
    </row>
    <row r="367" spans="1:10" s="17" customFormat="1" ht="13.5">
      <c r="A367" s="99" t="s">
        <v>327</v>
      </c>
      <c r="B367" s="100" t="s">
        <v>319</v>
      </c>
      <c r="C367" s="101" t="s">
        <v>304</v>
      </c>
      <c r="D367" s="134">
        <v>0.24</v>
      </c>
      <c r="E367" s="102">
        <v>3</v>
      </c>
      <c r="F367" s="103">
        <v>9.355</v>
      </c>
      <c r="G367" s="103">
        <f>F367*1.25</f>
        <v>11.693750000000001</v>
      </c>
      <c r="H367" s="80">
        <f>D367*1.15*(1+$H$3)*G367</f>
        <v>6.45495</v>
      </c>
      <c r="I367" s="74">
        <f>H367*$I$3</f>
        <v>33.17198805</v>
      </c>
      <c r="J367" s="74">
        <f>I367*1.25</f>
        <v>41.464985062500006</v>
      </c>
    </row>
    <row r="368" spans="1:10" s="17" customFormat="1" ht="12">
      <c r="A368" s="20" t="s">
        <v>328</v>
      </c>
      <c r="B368" s="89" t="s">
        <v>313</v>
      </c>
      <c r="C368" s="12"/>
      <c r="D368" s="21"/>
      <c r="E368" s="14"/>
      <c r="F368" s="14"/>
      <c r="G368" s="14"/>
      <c r="H368" s="14"/>
      <c r="I368" s="82"/>
      <c r="J368" s="82"/>
    </row>
    <row r="369" spans="1:10" s="17" customFormat="1" ht="13.5">
      <c r="A369" s="20"/>
      <c r="B369" s="18" t="s">
        <v>315</v>
      </c>
      <c r="C369" s="12" t="s">
        <v>310</v>
      </c>
      <c r="D369" s="121">
        <v>0.9</v>
      </c>
      <c r="E369" s="25">
        <v>3</v>
      </c>
      <c r="F369" s="14">
        <v>9.355</v>
      </c>
      <c r="G369" s="14">
        <f>F369*1.25</f>
        <v>11.693750000000001</v>
      </c>
      <c r="H369" s="22">
        <f>D369*1.15*(1+$H$3)*G369</f>
        <v>24.2060625</v>
      </c>
      <c r="I369" s="24">
        <f>H369*$I$3</f>
        <v>124.39495518750002</v>
      </c>
      <c r="J369" s="24">
        <f>I369*1.25</f>
        <v>155.49369398437503</v>
      </c>
    </row>
    <row r="370" spans="1:10" s="17" customFormat="1" ht="13.5">
      <c r="A370" s="20"/>
      <c r="B370" s="18" t="s">
        <v>316</v>
      </c>
      <c r="C370" s="12" t="s">
        <v>310</v>
      </c>
      <c r="D370" s="121">
        <v>1.02</v>
      </c>
      <c r="E370" s="25">
        <v>3</v>
      </c>
      <c r="F370" s="14">
        <v>9.355</v>
      </c>
      <c r="G370" s="14">
        <f>F370*1.25</f>
        <v>11.693750000000001</v>
      </c>
      <c r="H370" s="22">
        <f>D370*1.15*(1+$H$3)*G370</f>
        <v>27.4335375</v>
      </c>
      <c r="I370" s="24">
        <f>H370*$I$3</f>
        <v>140.9809492125</v>
      </c>
      <c r="J370" s="24">
        <f>I370*1.25</f>
        <v>176.22618651562502</v>
      </c>
    </row>
    <row r="371" spans="1:10" s="17" customFormat="1" ht="13.5">
      <c r="A371" s="20"/>
      <c r="B371" s="18" t="s">
        <v>317</v>
      </c>
      <c r="C371" s="12" t="s">
        <v>310</v>
      </c>
      <c r="D371" s="121">
        <v>1.128</v>
      </c>
      <c r="E371" s="25">
        <v>3</v>
      </c>
      <c r="F371" s="14">
        <v>9.355</v>
      </c>
      <c r="G371" s="14">
        <f>F371*1.25</f>
        <v>11.693750000000001</v>
      </c>
      <c r="H371" s="22">
        <f>D371*1.15*(1+$H$3)*G371</f>
        <v>30.338264999999996</v>
      </c>
      <c r="I371" s="24">
        <f>H371*$I$3</f>
        <v>155.90834383499998</v>
      </c>
      <c r="J371" s="24">
        <f>I371*1.25</f>
        <v>194.88542979374998</v>
      </c>
    </row>
    <row r="372" spans="1:10" s="17" customFormat="1" ht="13.5">
      <c r="A372" s="29"/>
      <c r="B372" s="28" t="s">
        <v>318</v>
      </c>
      <c r="C372" s="30" t="s">
        <v>310</v>
      </c>
      <c r="D372" s="125">
        <v>1.2</v>
      </c>
      <c r="E372" s="92">
        <v>3</v>
      </c>
      <c r="F372" s="32">
        <v>9.355</v>
      </c>
      <c r="G372" s="32">
        <f>F372*1.25</f>
        <v>11.693750000000001</v>
      </c>
      <c r="H372" s="33">
        <f>D372*1.15*(1+$H$3)*G372</f>
        <v>32.274750000000004</v>
      </c>
      <c r="I372" s="35">
        <f>H372*$I$3</f>
        <v>165.85994025000002</v>
      </c>
      <c r="J372" s="35">
        <f>I372*1.25</f>
        <v>207.32492531250003</v>
      </c>
    </row>
    <row r="373" spans="1:10" s="17" customFormat="1" ht="12">
      <c r="A373" s="20" t="s">
        <v>329</v>
      </c>
      <c r="B373" s="89" t="s">
        <v>314</v>
      </c>
      <c r="C373" s="12"/>
      <c r="D373" s="121"/>
      <c r="E373" s="14"/>
      <c r="F373" s="14"/>
      <c r="G373" s="14"/>
      <c r="H373" s="14"/>
      <c r="I373" s="82"/>
      <c r="J373" s="82"/>
    </row>
    <row r="374" spans="1:10" s="17" customFormat="1" ht="13.5">
      <c r="A374" s="20"/>
      <c r="B374" s="18" t="s">
        <v>315</v>
      </c>
      <c r="C374" s="12" t="s">
        <v>310</v>
      </c>
      <c r="D374" s="121">
        <v>0.456</v>
      </c>
      <c r="E374" s="25">
        <v>3</v>
      </c>
      <c r="F374" s="14">
        <v>9.355</v>
      </c>
      <c r="G374" s="14">
        <f>F374*1.25</f>
        <v>11.693750000000001</v>
      </c>
      <c r="H374" s="22">
        <f>D374*1.15*(1+$H$3)*G374</f>
        <v>12.264405000000002</v>
      </c>
      <c r="I374" s="24">
        <f>H374*$I$3</f>
        <v>63.02677729500001</v>
      </c>
      <c r="J374" s="24">
        <f>I374*1.25</f>
        <v>78.78347161875001</v>
      </c>
    </row>
    <row r="375" spans="1:10" s="17" customFormat="1" ht="13.5">
      <c r="A375" s="20"/>
      <c r="B375" s="18" t="s">
        <v>316</v>
      </c>
      <c r="C375" s="12" t="s">
        <v>310</v>
      </c>
      <c r="D375" s="121">
        <v>0.504</v>
      </c>
      <c r="E375" s="25">
        <v>3</v>
      </c>
      <c r="F375" s="14">
        <v>9.355</v>
      </c>
      <c r="G375" s="14">
        <f>F375*1.25</f>
        <v>11.693750000000001</v>
      </c>
      <c r="H375" s="22">
        <f>D375*1.15*(1+$H$3)*G375</f>
        <v>13.555395000000003</v>
      </c>
      <c r="I375" s="24">
        <f>H375*$I$3</f>
        <v>69.66117490500001</v>
      </c>
      <c r="J375" s="24">
        <f>I375*1.25</f>
        <v>87.07646863125001</v>
      </c>
    </row>
    <row r="376" spans="1:10" s="17" customFormat="1" ht="13.5">
      <c r="A376" s="20"/>
      <c r="B376" s="18" t="s">
        <v>317</v>
      </c>
      <c r="C376" s="12" t="s">
        <v>310</v>
      </c>
      <c r="D376" s="121">
        <v>0.564</v>
      </c>
      <c r="E376" s="25">
        <v>3</v>
      </c>
      <c r="F376" s="14">
        <v>9.355</v>
      </c>
      <c r="G376" s="14">
        <f>F376*1.25</f>
        <v>11.693750000000001</v>
      </c>
      <c r="H376" s="22">
        <f>D376*1.15*(1+$H$3)*G376</f>
        <v>15.169132499999998</v>
      </c>
      <c r="I376" s="24">
        <f>H376*$I$3</f>
        <v>77.95417191749999</v>
      </c>
      <c r="J376" s="24">
        <f>I376*1.25</f>
        <v>97.44271489687499</v>
      </c>
    </row>
    <row r="377" spans="1:10" s="17" customFormat="1" ht="13.5">
      <c r="A377" s="29"/>
      <c r="B377" s="28" t="s">
        <v>318</v>
      </c>
      <c r="C377" s="30" t="s">
        <v>310</v>
      </c>
      <c r="D377" s="125">
        <v>0.624</v>
      </c>
      <c r="E377" s="92">
        <v>3</v>
      </c>
      <c r="F377" s="32">
        <v>9.355</v>
      </c>
      <c r="G377" s="32">
        <f>F377*1.25</f>
        <v>11.693750000000001</v>
      </c>
      <c r="H377" s="33">
        <f>D377*1.15*(1+$H$3)*G377</f>
        <v>16.78287</v>
      </c>
      <c r="I377" s="35">
        <f>H377*$I$3</f>
        <v>86.24716893</v>
      </c>
      <c r="J377" s="35">
        <f>I377*1.25</f>
        <v>107.8089611625</v>
      </c>
    </row>
    <row r="378" spans="1:10" s="17" customFormat="1" ht="13.5">
      <c r="A378" s="99" t="s">
        <v>330</v>
      </c>
      <c r="B378" s="100" t="s">
        <v>320</v>
      </c>
      <c r="C378" s="101" t="s">
        <v>304</v>
      </c>
      <c r="D378" s="134">
        <v>0.204</v>
      </c>
      <c r="E378" s="102">
        <v>3</v>
      </c>
      <c r="F378" s="103">
        <v>9.355</v>
      </c>
      <c r="G378" s="103">
        <f>F378*1.25</f>
        <v>11.693750000000001</v>
      </c>
      <c r="H378" s="80">
        <f>D378*1.15*(1+$H$3)*G378</f>
        <v>5.4867075000000005</v>
      </c>
      <c r="I378" s="74">
        <f>H378*$I$3</f>
        <v>28.196189842500004</v>
      </c>
      <c r="J378" s="74">
        <f>I378*1.25</f>
        <v>35.24523730312501</v>
      </c>
    </row>
    <row r="379" spans="1:10" s="17" customFormat="1" ht="12">
      <c r="A379" s="20" t="s">
        <v>331</v>
      </c>
      <c r="B379" s="89" t="s">
        <v>305</v>
      </c>
      <c r="C379" s="12"/>
      <c r="D379" s="121"/>
      <c r="E379" s="14"/>
      <c r="F379" s="14"/>
      <c r="G379" s="14"/>
      <c r="H379" s="14"/>
      <c r="I379" s="82"/>
      <c r="J379" s="82"/>
    </row>
    <row r="380" spans="1:10" s="17" customFormat="1" ht="13.5">
      <c r="A380" s="20"/>
      <c r="B380" s="20" t="s">
        <v>298</v>
      </c>
      <c r="C380" s="12" t="s">
        <v>303</v>
      </c>
      <c r="D380" s="121">
        <v>0.876</v>
      </c>
      <c r="E380" s="25">
        <v>3</v>
      </c>
      <c r="F380" s="14">
        <v>9.355</v>
      </c>
      <c r="G380" s="14">
        <f>F380*1.25</f>
        <v>11.693750000000001</v>
      </c>
      <c r="H380" s="22">
        <f>D380*1.15*(1+$H$3)*G380</f>
        <v>23.560567499999998</v>
      </c>
      <c r="I380" s="24">
        <f>H380*$I$3</f>
        <v>121.0777563825</v>
      </c>
      <c r="J380" s="24">
        <f>I380*1.25</f>
        <v>151.347195478125</v>
      </c>
    </row>
    <row r="381" spans="1:10" s="17" customFormat="1" ht="13.5">
      <c r="A381" s="20"/>
      <c r="B381" s="20" t="s">
        <v>299</v>
      </c>
      <c r="C381" s="12" t="s">
        <v>303</v>
      </c>
      <c r="D381" s="121">
        <v>0.972</v>
      </c>
      <c r="E381" s="25">
        <v>3</v>
      </c>
      <c r="F381" s="14">
        <v>9.355</v>
      </c>
      <c r="G381" s="14">
        <f>F381*1.25</f>
        <v>11.693750000000001</v>
      </c>
      <c r="H381" s="22">
        <f>D381*1.15*(1+$H$3)*G381</f>
        <v>26.142547500000003</v>
      </c>
      <c r="I381" s="24">
        <f>H381*$I$3</f>
        <v>134.34655160250003</v>
      </c>
      <c r="J381" s="24">
        <f>I381*1.25</f>
        <v>167.93318950312505</v>
      </c>
    </row>
    <row r="382" spans="1:10" s="17" customFormat="1" ht="13.5">
      <c r="A382" s="20"/>
      <c r="B382" s="20" t="s">
        <v>300</v>
      </c>
      <c r="C382" s="12" t="s">
        <v>303</v>
      </c>
      <c r="D382" s="121">
        <v>1.2</v>
      </c>
      <c r="E382" s="25">
        <v>3</v>
      </c>
      <c r="F382" s="14">
        <v>9.355</v>
      </c>
      <c r="G382" s="14">
        <f>F382*1.25</f>
        <v>11.693750000000001</v>
      </c>
      <c r="H382" s="22">
        <f>D382*1.15*(1+$H$3)*G382</f>
        <v>32.274750000000004</v>
      </c>
      <c r="I382" s="24">
        <f>H382*$I$3</f>
        <v>165.85994025000002</v>
      </c>
      <c r="J382" s="24">
        <f>I382*1.25</f>
        <v>207.32492531250003</v>
      </c>
    </row>
    <row r="383" spans="1:10" s="17" customFormat="1" ht="13.5">
      <c r="A383" s="29"/>
      <c r="B383" s="29" t="s">
        <v>301</v>
      </c>
      <c r="C383" s="30" t="s">
        <v>303</v>
      </c>
      <c r="D383" s="125">
        <v>1.44</v>
      </c>
      <c r="E383" s="92">
        <v>3</v>
      </c>
      <c r="F383" s="32">
        <v>9.355</v>
      </c>
      <c r="G383" s="32">
        <f>F383*1.25</f>
        <v>11.693750000000001</v>
      </c>
      <c r="H383" s="33">
        <f>D383*1.15*(1+$H$3)*G383</f>
        <v>38.7297</v>
      </c>
      <c r="I383" s="35">
        <f>H383*$I$3</f>
        <v>199.0319283</v>
      </c>
      <c r="J383" s="35">
        <f>I383*1.25</f>
        <v>248.789910375</v>
      </c>
    </row>
    <row r="384" spans="1:10" s="17" customFormat="1" ht="12">
      <c r="A384" s="20" t="s">
        <v>332</v>
      </c>
      <c r="B384" s="89" t="s">
        <v>323</v>
      </c>
      <c r="C384" s="12"/>
      <c r="D384" s="121"/>
      <c r="E384" s="14"/>
      <c r="F384" s="14"/>
      <c r="G384" s="14"/>
      <c r="H384" s="14"/>
      <c r="I384" s="82"/>
      <c r="J384" s="82"/>
    </row>
    <row r="385" spans="1:10" s="17" customFormat="1" ht="13.5">
      <c r="A385" s="20"/>
      <c r="B385" s="20" t="s">
        <v>298</v>
      </c>
      <c r="C385" s="12" t="s">
        <v>297</v>
      </c>
      <c r="D385" s="121">
        <v>0.159</v>
      </c>
      <c r="E385" s="25">
        <v>3</v>
      </c>
      <c r="F385" s="14">
        <v>9.355</v>
      </c>
      <c r="G385" s="14">
        <f>F385*1.25</f>
        <v>11.693750000000001</v>
      </c>
      <c r="H385" s="22">
        <f>D385*1.15*(1+$H$3)*G385</f>
        <v>4.276404375</v>
      </c>
      <c r="I385" s="24">
        <f>H385*$I$3</f>
        <v>21.976442083125</v>
      </c>
      <c r="J385" s="24">
        <f>I385*1.25</f>
        <v>27.47055260390625</v>
      </c>
    </row>
    <row r="386" spans="1:10" s="17" customFormat="1" ht="13.5">
      <c r="A386" s="20"/>
      <c r="B386" s="20" t="s">
        <v>299</v>
      </c>
      <c r="C386" s="12" t="s">
        <v>297</v>
      </c>
      <c r="D386" s="121">
        <v>0.185</v>
      </c>
      <c r="E386" s="25">
        <v>3</v>
      </c>
      <c r="F386" s="14">
        <v>9.355</v>
      </c>
      <c r="G386" s="14">
        <f>F386*1.25</f>
        <v>11.693750000000001</v>
      </c>
      <c r="H386" s="22">
        <f>D386*1.15*(1+$H$3)*G386</f>
        <v>4.975690625</v>
      </c>
      <c r="I386" s="24">
        <f>H386*$I$3</f>
        <v>25.570074121875003</v>
      </c>
      <c r="J386" s="24">
        <f>I386*1.25</f>
        <v>31.96259265234375</v>
      </c>
    </row>
    <row r="387" spans="1:10" s="17" customFormat="1" ht="13.5">
      <c r="A387" s="29"/>
      <c r="B387" s="29" t="s">
        <v>300</v>
      </c>
      <c r="C387" s="30" t="s">
        <v>297</v>
      </c>
      <c r="D387" s="125">
        <v>0.216</v>
      </c>
      <c r="E387" s="92">
        <v>3</v>
      </c>
      <c r="F387" s="32">
        <v>9.355</v>
      </c>
      <c r="G387" s="32">
        <f>F387*1.25</f>
        <v>11.693750000000001</v>
      </c>
      <c r="H387" s="33">
        <f>D387*1.15*(1+$H$3)*G387</f>
        <v>5.809455000000001</v>
      </c>
      <c r="I387" s="35">
        <f>H387*$I$3</f>
        <v>29.854789245000006</v>
      </c>
      <c r="J387" s="35">
        <f>I387*1.25</f>
        <v>37.31848655625001</v>
      </c>
    </row>
    <row r="388" spans="1:10" s="17" customFormat="1" ht="14.25" thickBot="1">
      <c r="A388" s="105" t="s">
        <v>334</v>
      </c>
      <c r="B388" s="106" t="s">
        <v>335</v>
      </c>
      <c r="C388" s="107" t="s">
        <v>303</v>
      </c>
      <c r="D388" s="135">
        <f>(0.99+1.17)*1.2</f>
        <v>2.592</v>
      </c>
      <c r="E388" s="108">
        <v>3</v>
      </c>
      <c r="F388" s="109">
        <v>9.355</v>
      </c>
      <c r="G388" s="109">
        <f>F388*1.25</f>
        <v>11.693750000000001</v>
      </c>
      <c r="H388" s="110">
        <f>D388*1.15*(1+$H$3)*G388</f>
        <v>69.71346000000001</v>
      </c>
      <c r="I388" s="111">
        <f>H388*$I$3</f>
        <v>358.2574709400001</v>
      </c>
      <c r="J388" s="111">
        <f>I388*1.25</f>
        <v>447.8218386750001</v>
      </c>
    </row>
    <row r="389" ht="12">
      <c r="J389" s="83"/>
    </row>
    <row r="390" ht="12">
      <c r="J390" s="83"/>
    </row>
    <row r="391" ht="12">
      <c r="J391" s="83"/>
    </row>
    <row r="392" ht="12">
      <c r="J392" s="84"/>
    </row>
    <row r="393" ht="12">
      <c r="J393" s="84"/>
    </row>
    <row r="394" ht="12">
      <c r="J394" s="84"/>
    </row>
    <row r="395" ht="12">
      <c r="J395" s="84"/>
    </row>
    <row r="396" ht="12">
      <c r="J396" s="84"/>
    </row>
    <row r="397" ht="12">
      <c r="J397" s="84"/>
    </row>
    <row r="398" ht="12">
      <c r="J398" s="84"/>
    </row>
    <row r="399" ht="12">
      <c r="J399" s="84"/>
    </row>
    <row r="400" ht="12">
      <c r="J400" s="84"/>
    </row>
    <row r="401" ht="12">
      <c r="J401" s="84"/>
    </row>
    <row r="402" ht="12">
      <c r="J402" s="84"/>
    </row>
    <row r="403" ht="12">
      <c r="J403" s="84"/>
    </row>
    <row r="404" ht="12">
      <c r="J404" s="84"/>
    </row>
    <row r="405" ht="12">
      <c r="J405" s="84"/>
    </row>
    <row r="406" ht="12">
      <c r="J406" s="84"/>
    </row>
    <row r="407" ht="12">
      <c r="J407" s="84"/>
    </row>
    <row r="408" ht="12">
      <c r="J408" s="84"/>
    </row>
    <row r="409" ht="12">
      <c r="J409" s="84"/>
    </row>
    <row r="410" ht="12">
      <c r="J410" s="84"/>
    </row>
    <row r="411" ht="12">
      <c r="J411" s="84"/>
    </row>
    <row r="412" ht="12">
      <c r="J412" s="84"/>
    </row>
    <row r="413" ht="12">
      <c r="J413" s="84"/>
    </row>
    <row r="414" ht="12">
      <c r="J414" s="84"/>
    </row>
    <row r="415" ht="12">
      <c r="J415" s="84"/>
    </row>
    <row r="416" ht="12">
      <c r="J416" s="84"/>
    </row>
    <row r="417" ht="12">
      <c r="J417" s="84"/>
    </row>
    <row r="418" ht="12">
      <c r="J418" s="84"/>
    </row>
    <row r="419" ht="12">
      <c r="J419" s="84"/>
    </row>
    <row r="420" ht="12">
      <c r="J420" s="84"/>
    </row>
    <row r="421" ht="12">
      <c r="J421" s="84"/>
    </row>
    <row r="422" ht="12">
      <c r="J422" s="84"/>
    </row>
    <row r="423" ht="12">
      <c r="J423" s="84"/>
    </row>
    <row r="424" ht="12">
      <c r="J424" s="84"/>
    </row>
    <row r="425" ht="12">
      <c r="J425" s="84"/>
    </row>
    <row r="426" ht="12">
      <c r="J426" s="84"/>
    </row>
    <row r="427" ht="12">
      <c r="J427" s="84"/>
    </row>
    <row r="428" ht="12">
      <c r="J428" s="84"/>
    </row>
    <row r="429" ht="12">
      <c r="J429" s="84"/>
    </row>
    <row r="430" ht="12">
      <c r="J430" s="84"/>
    </row>
  </sheetData>
  <sheetProtection/>
  <printOptions horizontalCentered="1"/>
  <pageMargins left="0.46" right="0.2362204724409449" top="0.5905511811023623" bottom="0.6692913385826772" header="0.5118110236220472" footer="0.35433070866141736"/>
  <pageSetup horizontalDpi="600" verticalDpi="600" orientation="portrait" paperSize="9" scale="83" r:id="rId1"/>
  <headerFooter alignWithMargins="0">
    <oddFooter>&amp;CГлавный экономист                                                                Н.С. Полтавская</oddFooter>
  </headerFooter>
  <rowBreaks count="5" manualBreakCount="5">
    <brk id="66" max="9" man="1"/>
    <brk id="136" max="9" man="1"/>
    <brk id="208" max="9" man="1"/>
    <brk id="281" max="9" man="1"/>
    <brk id="3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D397"/>
  <sheetViews>
    <sheetView tabSelected="1" view="pageBreakPreview" zoomScale="90" zoomScaleSheetLayoutView="90" workbookViewId="0" topLeftCell="A80">
      <selection activeCell="B19" sqref="B19"/>
    </sheetView>
  </sheetViews>
  <sheetFormatPr defaultColWidth="9.140625" defaultRowHeight="12.75"/>
  <cols>
    <col min="1" max="1" width="7.00390625" style="137" customWidth="1"/>
    <col min="2" max="2" width="53.28125" style="136" customWidth="1"/>
    <col min="3" max="3" width="12.7109375" style="136" customWidth="1"/>
    <col min="4" max="4" width="12.421875" style="138" customWidth="1"/>
    <col min="5" max="16384" width="9.140625" style="136" customWidth="1"/>
  </cols>
  <sheetData>
    <row r="1" ht="12" hidden="1"/>
    <row r="2" ht="15.75">
      <c r="A2" s="145" t="s">
        <v>350</v>
      </c>
    </row>
    <row r="3" spans="1:4" ht="15.75">
      <c r="A3" s="145"/>
      <c r="C3" s="168"/>
      <c r="D3" s="169"/>
    </row>
    <row r="4" spans="3:4" ht="12">
      <c r="C4" s="168"/>
      <c r="D4" s="169"/>
    </row>
    <row r="5" spans="1:4" ht="15.75">
      <c r="A5" s="146" t="s">
        <v>351</v>
      </c>
      <c r="C5" s="168"/>
      <c r="D5" s="169"/>
    </row>
    <row r="6" spans="1:4" ht="16.5" customHeight="1">
      <c r="A6" s="136"/>
      <c r="C6" s="168"/>
      <c r="D6" s="169"/>
    </row>
    <row r="7" spans="1:4" ht="103.5" customHeight="1">
      <c r="A7" s="142" t="s">
        <v>1</v>
      </c>
      <c r="B7" s="143" t="s">
        <v>28</v>
      </c>
      <c r="C7" s="143" t="s">
        <v>29</v>
      </c>
      <c r="D7" s="167" t="s">
        <v>30</v>
      </c>
    </row>
    <row r="8" spans="1:4" s="144" customFormat="1" ht="12">
      <c r="A8" s="147" t="s">
        <v>20</v>
      </c>
      <c r="B8" s="148">
        <v>2</v>
      </c>
      <c r="C8" s="148">
        <v>3</v>
      </c>
      <c r="D8" s="148">
        <v>4</v>
      </c>
    </row>
    <row r="9" spans="1:4" s="138" customFormat="1" ht="12">
      <c r="A9" s="149"/>
      <c r="B9" s="150"/>
      <c r="C9" s="150"/>
      <c r="D9" s="150"/>
    </row>
    <row r="10" spans="1:4" s="139" customFormat="1" ht="36">
      <c r="A10" s="154" t="s">
        <v>214</v>
      </c>
      <c r="B10" s="170" t="s">
        <v>352</v>
      </c>
      <c r="C10" s="151"/>
      <c r="D10" s="152"/>
    </row>
    <row r="11" spans="1:4" s="139" customFormat="1" ht="12">
      <c r="A11" s="154" t="s">
        <v>34</v>
      </c>
      <c r="B11" s="157" t="s">
        <v>36</v>
      </c>
      <c r="C11" s="151" t="s">
        <v>47</v>
      </c>
      <c r="D11" s="153">
        <v>25278.3</v>
      </c>
    </row>
    <row r="12" spans="1:4" s="139" customFormat="1" ht="12">
      <c r="A12" s="154" t="s">
        <v>34</v>
      </c>
      <c r="B12" s="156" t="s">
        <v>353</v>
      </c>
      <c r="C12" s="151" t="s">
        <v>39</v>
      </c>
      <c r="D12" s="153">
        <v>37876.1</v>
      </c>
    </row>
    <row r="13" spans="1:4" s="139" customFormat="1" ht="12">
      <c r="A13" s="154" t="s">
        <v>34</v>
      </c>
      <c r="B13" s="156" t="s">
        <v>354</v>
      </c>
      <c r="C13" s="151" t="s">
        <v>39</v>
      </c>
      <c r="D13" s="153">
        <v>64731.4</v>
      </c>
    </row>
    <row r="14" spans="1:4" s="139" customFormat="1" ht="36">
      <c r="A14" s="154" t="s">
        <v>215</v>
      </c>
      <c r="B14" s="170" t="s">
        <v>355</v>
      </c>
      <c r="C14" s="151"/>
      <c r="D14" s="153"/>
    </row>
    <row r="15" spans="1:4" s="139" customFormat="1" ht="12">
      <c r="A15" s="154"/>
      <c r="B15" s="157" t="s">
        <v>36</v>
      </c>
      <c r="C15" s="151" t="s">
        <v>50</v>
      </c>
      <c r="D15" s="153">
        <v>4265</v>
      </c>
    </row>
    <row r="16" spans="1:4" s="139" customFormat="1" ht="12">
      <c r="A16" s="154"/>
      <c r="B16" s="156" t="s">
        <v>353</v>
      </c>
      <c r="C16" s="151" t="s">
        <v>39</v>
      </c>
      <c r="D16" s="153">
        <v>7177.7</v>
      </c>
    </row>
    <row r="17" spans="1:4" s="139" customFormat="1" ht="12">
      <c r="A17" s="154"/>
      <c r="B17" s="156" t="s">
        <v>354</v>
      </c>
      <c r="C17" s="151" t="s">
        <v>39</v>
      </c>
      <c r="D17" s="153">
        <v>9653.1</v>
      </c>
    </row>
    <row r="18" spans="1:4" s="139" customFormat="1" ht="41.25" customHeight="1">
      <c r="A18" s="154" t="s">
        <v>216</v>
      </c>
      <c r="B18" s="170" t="s">
        <v>356</v>
      </c>
      <c r="C18" s="151"/>
      <c r="D18" s="153"/>
    </row>
    <row r="19" spans="1:4" s="139" customFormat="1" ht="12">
      <c r="A19" s="154"/>
      <c r="B19" s="157" t="s">
        <v>36</v>
      </c>
      <c r="C19" s="151" t="s">
        <v>51</v>
      </c>
      <c r="D19" s="153">
        <v>3882.6</v>
      </c>
    </row>
    <row r="20" spans="1:4" s="139" customFormat="1" ht="12">
      <c r="A20" s="154"/>
      <c r="B20" s="156" t="s">
        <v>353</v>
      </c>
      <c r="C20" s="151" t="s">
        <v>39</v>
      </c>
      <c r="D20" s="153">
        <v>9207.7</v>
      </c>
    </row>
    <row r="21" spans="1:4" s="139" customFormat="1" ht="12">
      <c r="A21" s="154"/>
      <c r="B21" s="156" t="s">
        <v>354</v>
      </c>
      <c r="C21" s="151" t="s">
        <v>39</v>
      </c>
      <c r="D21" s="153">
        <v>21222.3</v>
      </c>
    </row>
    <row r="22" spans="1:4" s="139" customFormat="1" ht="24">
      <c r="A22" s="154" t="s">
        <v>217</v>
      </c>
      <c r="B22" s="171" t="s">
        <v>357</v>
      </c>
      <c r="C22" s="159"/>
      <c r="D22" s="153"/>
    </row>
    <row r="23" spans="1:4" s="139" customFormat="1" ht="12">
      <c r="A23" s="154"/>
      <c r="B23" s="157" t="s">
        <v>36</v>
      </c>
      <c r="C23" s="151" t="s">
        <v>53</v>
      </c>
      <c r="D23" s="153">
        <v>2011.7</v>
      </c>
    </row>
    <row r="24" spans="1:4" s="139" customFormat="1" ht="12">
      <c r="A24" s="154"/>
      <c r="B24" s="156" t="s">
        <v>353</v>
      </c>
      <c r="C24" s="151" t="s">
        <v>39</v>
      </c>
      <c r="D24" s="153">
        <v>3131.7</v>
      </c>
    </row>
    <row r="25" spans="1:4" s="139" customFormat="1" ht="12">
      <c r="A25" s="154"/>
      <c r="B25" s="156" t="s">
        <v>354</v>
      </c>
      <c r="C25" s="151" t="s">
        <v>39</v>
      </c>
      <c r="D25" s="153">
        <v>8480.3</v>
      </c>
    </row>
    <row r="26" spans="1:4" s="139" customFormat="1" ht="36">
      <c r="A26" s="154" t="s">
        <v>218</v>
      </c>
      <c r="B26" s="170" t="s">
        <v>358</v>
      </c>
      <c r="C26" s="151"/>
      <c r="D26" s="153"/>
    </row>
    <row r="27" spans="1:4" s="139" customFormat="1" ht="12">
      <c r="A27" s="154" t="s">
        <v>34</v>
      </c>
      <c r="B27" s="157" t="s">
        <v>36</v>
      </c>
      <c r="C27" s="151" t="s">
        <v>47</v>
      </c>
      <c r="D27" s="153">
        <v>31781.1</v>
      </c>
    </row>
    <row r="28" spans="1:4" s="139" customFormat="1" ht="12">
      <c r="A28" s="154" t="s">
        <v>34</v>
      </c>
      <c r="B28" s="156" t="s">
        <v>353</v>
      </c>
      <c r="C28" s="151" t="s">
        <v>39</v>
      </c>
      <c r="D28" s="153">
        <v>45603.4</v>
      </c>
    </row>
    <row r="29" spans="1:4" s="139" customFormat="1" ht="12">
      <c r="A29" s="154" t="s">
        <v>34</v>
      </c>
      <c r="B29" s="156" t="s">
        <v>354</v>
      </c>
      <c r="C29" s="151" t="s">
        <v>39</v>
      </c>
      <c r="D29" s="153">
        <v>71712.7</v>
      </c>
    </row>
    <row r="30" spans="1:4" s="139" customFormat="1" ht="36">
      <c r="A30" s="154" t="s">
        <v>219</v>
      </c>
      <c r="B30" s="170" t="s">
        <v>359</v>
      </c>
      <c r="C30" s="151"/>
      <c r="D30" s="153"/>
    </row>
    <row r="31" spans="1:4" s="139" customFormat="1" ht="12">
      <c r="A31" s="154"/>
      <c r="B31" s="157" t="s">
        <v>36</v>
      </c>
      <c r="C31" s="151" t="s">
        <v>50</v>
      </c>
      <c r="D31" s="153">
        <v>4265</v>
      </c>
    </row>
    <row r="32" spans="1:4" s="139" customFormat="1" ht="12">
      <c r="A32" s="154"/>
      <c r="B32" s="156" t="s">
        <v>353</v>
      </c>
      <c r="C32" s="151" t="s">
        <v>39</v>
      </c>
      <c r="D32" s="153">
        <v>7177.7</v>
      </c>
    </row>
    <row r="33" spans="1:4" s="139" customFormat="1" ht="12">
      <c r="A33" s="154"/>
      <c r="B33" s="156" t="s">
        <v>354</v>
      </c>
      <c r="C33" s="151" t="s">
        <v>39</v>
      </c>
      <c r="D33" s="153">
        <v>9653.1</v>
      </c>
    </row>
    <row r="34" spans="1:4" s="139" customFormat="1" ht="36">
      <c r="A34" s="154" t="s">
        <v>220</v>
      </c>
      <c r="B34" s="170" t="s">
        <v>360</v>
      </c>
      <c r="C34" s="151"/>
      <c r="D34" s="153"/>
    </row>
    <row r="35" spans="1:4" s="139" customFormat="1" ht="12">
      <c r="A35" s="154"/>
      <c r="B35" s="157" t="s">
        <v>36</v>
      </c>
      <c r="C35" s="151" t="s">
        <v>51</v>
      </c>
      <c r="D35" s="153">
        <v>8971.1</v>
      </c>
    </row>
    <row r="36" spans="1:4" s="139" customFormat="1" ht="12">
      <c r="A36" s="154"/>
      <c r="B36" s="156" t="s">
        <v>353</v>
      </c>
      <c r="C36" s="151" t="s">
        <v>39</v>
      </c>
      <c r="D36" s="153">
        <v>15328.9</v>
      </c>
    </row>
    <row r="37" spans="1:4" s="139" customFormat="1" ht="12">
      <c r="A37" s="154"/>
      <c r="B37" s="156" t="s">
        <v>354</v>
      </c>
      <c r="C37" s="151" t="s">
        <v>39</v>
      </c>
      <c r="D37" s="153">
        <v>26587.4</v>
      </c>
    </row>
    <row r="38" spans="1:4" s="139" customFormat="1" ht="24">
      <c r="A38" s="154" t="s">
        <v>221</v>
      </c>
      <c r="B38" s="171" t="s">
        <v>361</v>
      </c>
      <c r="C38" s="159"/>
      <c r="D38" s="153"/>
    </row>
    <row r="39" spans="1:4" s="139" customFormat="1" ht="12">
      <c r="A39" s="154"/>
      <c r="B39" s="157" t="s">
        <v>36</v>
      </c>
      <c r="C39" s="151" t="s">
        <v>53</v>
      </c>
      <c r="D39" s="153">
        <v>2011.7</v>
      </c>
    </row>
    <row r="40" spans="1:4" s="139" customFormat="1" ht="12">
      <c r="A40" s="154"/>
      <c r="B40" s="156" t="s">
        <v>353</v>
      </c>
      <c r="C40" s="151" t="s">
        <v>39</v>
      </c>
      <c r="D40" s="153">
        <v>3131.7</v>
      </c>
    </row>
    <row r="41" spans="1:4" s="139" customFormat="1" ht="12">
      <c r="A41" s="154"/>
      <c r="B41" s="156" t="s">
        <v>354</v>
      </c>
      <c r="C41" s="151" t="s">
        <v>39</v>
      </c>
      <c r="D41" s="153">
        <v>8480.3</v>
      </c>
    </row>
    <row r="42" spans="1:4" s="139" customFormat="1" ht="36">
      <c r="A42" s="154" t="s">
        <v>222</v>
      </c>
      <c r="B42" s="170" t="s">
        <v>362</v>
      </c>
      <c r="C42" s="151"/>
      <c r="D42" s="153"/>
    </row>
    <row r="43" spans="1:4" s="139" customFormat="1" ht="12">
      <c r="A43" s="154" t="s">
        <v>34</v>
      </c>
      <c r="B43" s="157" t="s">
        <v>36</v>
      </c>
      <c r="C43" s="151" t="s">
        <v>47</v>
      </c>
      <c r="D43" s="153">
        <v>22530.7</v>
      </c>
    </row>
    <row r="44" spans="1:4" s="139" customFormat="1" ht="12">
      <c r="A44" s="154" t="s">
        <v>34</v>
      </c>
      <c r="B44" s="156" t="s">
        <v>353</v>
      </c>
      <c r="C44" s="151" t="s">
        <v>39</v>
      </c>
      <c r="D44" s="153">
        <v>34737.4</v>
      </c>
    </row>
    <row r="45" spans="1:4" s="139" customFormat="1" ht="12">
      <c r="A45" s="154" t="s">
        <v>34</v>
      </c>
      <c r="B45" s="156" t="s">
        <v>354</v>
      </c>
      <c r="C45" s="151" t="s">
        <v>39</v>
      </c>
      <c r="D45" s="153">
        <v>59875.5</v>
      </c>
    </row>
    <row r="46" spans="1:4" s="139" customFormat="1" ht="42" customHeight="1">
      <c r="A46" s="154" t="s">
        <v>223</v>
      </c>
      <c r="B46" s="170" t="s">
        <v>363</v>
      </c>
      <c r="C46" s="151"/>
      <c r="D46" s="153"/>
    </row>
    <row r="47" spans="1:4" s="139" customFormat="1" ht="12">
      <c r="A47" s="154"/>
      <c r="B47" s="157" t="s">
        <v>36</v>
      </c>
      <c r="C47" s="151" t="s">
        <v>57</v>
      </c>
      <c r="D47" s="153">
        <v>2322.1</v>
      </c>
    </row>
    <row r="48" spans="1:4" s="139" customFormat="1" ht="12">
      <c r="A48" s="154"/>
      <c r="B48" s="156" t="s">
        <v>353</v>
      </c>
      <c r="C48" s="151" t="s">
        <v>39</v>
      </c>
      <c r="D48" s="153">
        <v>4319</v>
      </c>
    </row>
    <row r="49" spans="1:4" s="139" customFormat="1" ht="12">
      <c r="A49" s="154"/>
      <c r="B49" s="156" t="s">
        <v>354</v>
      </c>
      <c r="C49" s="151" t="s">
        <v>39</v>
      </c>
      <c r="D49" s="153">
        <v>6090.1</v>
      </c>
    </row>
    <row r="50" spans="1:4" s="139" customFormat="1" ht="39" customHeight="1">
      <c r="A50" s="154" t="s">
        <v>224</v>
      </c>
      <c r="B50" s="170" t="s">
        <v>364</v>
      </c>
      <c r="C50" s="151"/>
      <c r="D50" s="153"/>
    </row>
    <row r="51" spans="1:4" s="139" customFormat="1" ht="12">
      <c r="A51" s="154"/>
      <c r="B51" s="157" t="s">
        <v>36</v>
      </c>
      <c r="C51" s="151" t="s">
        <v>51</v>
      </c>
      <c r="D51" s="153">
        <v>3882.6</v>
      </c>
    </row>
    <row r="52" spans="1:4" s="139" customFormat="1" ht="12">
      <c r="A52" s="154"/>
      <c r="B52" s="156" t="s">
        <v>353</v>
      </c>
      <c r="C52" s="151" t="s">
        <v>39</v>
      </c>
      <c r="D52" s="153">
        <v>9207.7</v>
      </c>
    </row>
    <row r="53" spans="1:4" s="139" customFormat="1" ht="12">
      <c r="A53" s="154"/>
      <c r="B53" s="156" t="s">
        <v>354</v>
      </c>
      <c r="C53" s="151" t="s">
        <v>39</v>
      </c>
      <c r="D53" s="153">
        <v>21222.3</v>
      </c>
    </row>
    <row r="54" spans="1:4" s="139" customFormat="1" ht="28.5" customHeight="1">
      <c r="A54" s="154" t="s">
        <v>225</v>
      </c>
      <c r="B54" s="171" t="s">
        <v>365</v>
      </c>
      <c r="C54" s="159"/>
      <c r="D54" s="153"/>
    </row>
    <row r="55" spans="1:4" s="139" customFormat="1" ht="12">
      <c r="A55" s="154"/>
      <c r="B55" s="157" t="s">
        <v>36</v>
      </c>
      <c r="C55" s="151" t="s">
        <v>53</v>
      </c>
      <c r="D55" s="153">
        <v>2011.7</v>
      </c>
    </row>
    <row r="56" spans="1:4" s="139" customFormat="1" ht="12">
      <c r="A56" s="154"/>
      <c r="B56" s="156" t="s">
        <v>353</v>
      </c>
      <c r="C56" s="151" t="s">
        <v>39</v>
      </c>
      <c r="D56" s="153">
        <v>3131.7</v>
      </c>
    </row>
    <row r="57" spans="1:4" s="139" customFormat="1" ht="12">
      <c r="A57" s="154"/>
      <c r="B57" s="156" t="s">
        <v>354</v>
      </c>
      <c r="C57" s="151" t="s">
        <v>39</v>
      </c>
      <c r="D57" s="153">
        <v>8480.3</v>
      </c>
    </row>
    <row r="58" spans="1:4" s="139" customFormat="1" ht="36">
      <c r="A58" s="154" t="s">
        <v>226</v>
      </c>
      <c r="B58" s="170" t="s">
        <v>366</v>
      </c>
      <c r="C58" s="151"/>
      <c r="D58" s="153"/>
    </row>
    <row r="59" spans="1:4" s="139" customFormat="1" ht="12">
      <c r="A59" s="154" t="s">
        <v>34</v>
      </c>
      <c r="B59" s="157" t="s">
        <v>36</v>
      </c>
      <c r="C59" s="151" t="s">
        <v>47</v>
      </c>
      <c r="D59" s="153">
        <v>29269</v>
      </c>
    </row>
    <row r="60" spans="1:4" s="139" customFormat="1" ht="12">
      <c r="A60" s="154" t="s">
        <v>34</v>
      </c>
      <c r="B60" s="156" t="s">
        <v>353</v>
      </c>
      <c r="C60" s="151" t="s">
        <v>39</v>
      </c>
      <c r="D60" s="153">
        <v>41986.1</v>
      </c>
    </row>
    <row r="61" spans="1:4" s="139" customFormat="1" ht="12">
      <c r="A61" s="154" t="s">
        <v>34</v>
      </c>
      <c r="B61" s="156" t="s">
        <v>354</v>
      </c>
      <c r="C61" s="151" t="s">
        <v>39</v>
      </c>
      <c r="D61" s="153">
        <v>67124.2</v>
      </c>
    </row>
    <row r="62" spans="1:4" s="139" customFormat="1" ht="36">
      <c r="A62" s="154" t="s">
        <v>227</v>
      </c>
      <c r="B62" s="170" t="s">
        <v>367</v>
      </c>
      <c r="C62" s="151"/>
      <c r="D62" s="153"/>
    </row>
    <row r="63" spans="1:4" s="139" customFormat="1" ht="12">
      <c r="A63" s="154"/>
      <c r="B63" s="190" t="s">
        <v>36</v>
      </c>
      <c r="C63" s="151" t="s">
        <v>57</v>
      </c>
      <c r="D63" s="153">
        <v>2322.1</v>
      </c>
    </row>
    <row r="64" spans="1:4" s="139" customFormat="1" ht="12">
      <c r="A64" s="154"/>
      <c r="B64" s="156" t="s">
        <v>353</v>
      </c>
      <c r="C64" s="151" t="s">
        <v>39</v>
      </c>
      <c r="D64" s="153">
        <v>4319</v>
      </c>
    </row>
    <row r="65" spans="1:4" s="139" customFormat="1" ht="12">
      <c r="A65" s="154"/>
      <c r="B65" s="156" t="s">
        <v>354</v>
      </c>
      <c r="C65" s="151" t="s">
        <v>39</v>
      </c>
      <c r="D65" s="153">
        <v>6090.1</v>
      </c>
    </row>
    <row r="66" spans="1:4" s="139" customFormat="1" ht="36">
      <c r="A66" s="154" t="s">
        <v>228</v>
      </c>
      <c r="B66" s="170" t="s">
        <v>368</v>
      </c>
      <c r="C66" s="151"/>
      <c r="D66" s="153"/>
    </row>
    <row r="67" spans="1:4" s="139" customFormat="1" ht="12">
      <c r="A67" s="154"/>
      <c r="B67" s="157" t="s">
        <v>36</v>
      </c>
      <c r="C67" s="151" t="s">
        <v>51</v>
      </c>
      <c r="D67" s="153">
        <v>8971.1</v>
      </c>
    </row>
    <row r="68" spans="1:4" s="139" customFormat="1" ht="12">
      <c r="A68" s="154"/>
      <c r="B68" s="156" t="s">
        <v>353</v>
      </c>
      <c r="C68" s="151" t="s">
        <v>39</v>
      </c>
      <c r="D68" s="153">
        <v>13785.7</v>
      </c>
    </row>
    <row r="69" spans="1:4" s="139" customFormat="1" ht="12">
      <c r="A69" s="154"/>
      <c r="B69" s="156" t="s">
        <v>354</v>
      </c>
      <c r="C69" s="151" t="s">
        <v>39</v>
      </c>
      <c r="D69" s="153">
        <v>23542.3</v>
      </c>
    </row>
    <row r="70" spans="1:4" s="139" customFormat="1" ht="24">
      <c r="A70" s="154" t="s">
        <v>229</v>
      </c>
      <c r="B70" s="171" t="s">
        <v>369</v>
      </c>
      <c r="C70" s="159"/>
      <c r="D70" s="153"/>
    </row>
    <row r="71" spans="1:4" s="139" customFormat="1" ht="12">
      <c r="A71" s="154"/>
      <c r="B71" s="157" t="s">
        <v>36</v>
      </c>
      <c r="C71" s="151" t="s">
        <v>53</v>
      </c>
      <c r="D71" s="153">
        <v>2011.7</v>
      </c>
    </row>
    <row r="72" spans="1:4" s="139" customFormat="1" ht="12">
      <c r="A72" s="154"/>
      <c r="B72" s="156" t="s">
        <v>353</v>
      </c>
      <c r="C72" s="151" t="s">
        <v>39</v>
      </c>
      <c r="D72" s="153">
        <v>3131.7</v>
      </c>
    </row>
    <row r="73" spans="1:4" s="139" customFormat="1" ht="12">
      <c r="A73" s="154"/>
      <c r="B73" s="156" t="s">
        <v>354</v>
      </c>
      <c r="C73" s="151" t="s">
        <v>39</v>
      </c>
      <c r="D73" s="153">
        <v>8480.3</v>
      </c>
    </row>
    <row r="74" spans="1:4" s="139" customFormat="1" ht="12">
      <c r="A74" s="154" t="s">
        <v>230</v>
      </c>
      <c r="B74" s="158" t="s">
        <v>128</v>
      </c>
      <c r="C74" s="159"/>
      <c r="D74" s="153"/>
    </row>
    <row r="75" spans="1:4" s="139" customFormat="1" ht="12">
      <c r="A75" s="154"/>
      <c r="B75" s="157" t="s">
        <v>125</v>
      </c>
      <c r="C75" s="151" t="s">
        <v>127</v>
      </c>
      <c r="D75" s="153">
        <v>1829.8</v>
      </c>
    </row>
    <row r="76" spans="1:4" s="139" customFormat="1" ht="12">
      <c r="A76" s="154"/>
      <c r="B76" s="156" t="s">
        <v>370</v>
      </c>
      <c r="C76" s="151" t="s">
        <v>39</v>
      </c>
      <c r="D76" s="153">
        <v>2744.6</v>
      </c>
    </row>
    <row r="77" spans="1:4" ht="24">
      <c r="A77" s="160" t="s">
        <v>231</v>
      </c>
      <c r="B77" s="172" t="s">
        <v>371</v>
      </c>
      <c r="C77" s="162"/>
      <c r="D77" s="153"/>
    </row>
    <row r="78" spans="1:4" ht="12">
      <c r="A78" s="160"/>
      <c r="B78" s="163" t="s">
        <v>372</v>
      </c>
      <c r="C78" s="162" t="s">
        <v>5</v>
      </c>
      <c r="D78" s="153">
        <v>5923.5</v>
      </c>
    </row>
    <row r="79" spans="1:4" ht="12">
      <c r="A79" s="160"/>
      <c r="B79" s="156" t="s">
        <v>373</v>
      </c>
      <c r="C79" s="162" t="s">
        <v>5</v>
      </c>
      <c r="D79" s="153">
        <v>9969.9</v>
      </c>
    </row>
    <row r="80" spans="1:4" s="139" customFormat="1" ht="24">
      <c r="A80" s="154" t="s">
        <v>232</v>
      </c>
      <c r="B80" s="170" t="s">
        <v>374</v>
      </c>
      <c r="C80" s="151"/>
      <c r="D80" s="153"/>
    </row>
    <row r="81" spans="1:4" s="139" customFormat="1" ht="12">
      <c r="A81" s="154"/>
      <c r="B81" s="157" t="s">
        <v>36</v>
      </c>
      <c r="C81" s="151" t="s">
        <v>86</v>
      </c>
      <c r="D81" s="153">
        <v>4376.7</v>
      </c>
    </row>
    <row r="82" spans="1:4" s="139" customFormat="1" ht="12">
      <c r="A82" s="154"/>
      <c r="B82" s="156" t="s">
        <v>353</v>
      </c>
      <c r="C82" s="151" t="s">
        <v>39</v>
      </c>
      <c r="D82" s="153">
        <v>6574.9</v>
      </c>
    </row>
    <row r="83" spans="1:4" s="139" customFormat="1" ht="12">
      <c r="A83" s="154"/>
      <c r="B83" s="156" t="s">
        <v>354</v>
      </c>
      <c r="C83" s="151" t="s">
        <v>39</v>
      </c>
      <c r="D83" s="153">
        <v>9197.3</v>
      </c>
    </row>
    <row r="84" spans="1:4" s="139" customFormat="1" ht="24">
      <c r="A84" s="154" t="s">
        <v>233</v>
      </c>
      <c r="B84" s="170" t="s">
        <v>375</v>
      </c>
      <c r="C84" s="151"/>
      <c r="D84" s="153"/>
    </row>
    <row r="85" spans="1:4" s="139" customFormat="1" ht="12">
      <c r="A85" s="154"/>
      <c r="B85" s="157" t="s">
        <v>36</v>
      </c>
      <c r="C85" s="151" t="s">
        <v>86</v>
      </c>
      <c r="D85" s="153">
        <v>2372.7</v>
      </c>
    </row>
    <row r="86" spans="1:4" s="139" customFormat="1" ht="12">
      <c r="A86" s="154"/>
      <c r="B86" s="156" t="s">
        <v>353</v>
      </c>
      <c r="C86" s="151" t="s">
        <v>39</v>
      </c>
      <c r="D86" s="153">
        <v>3842.6</v>
      </c>
    </row>
    <row r="87" spans="1:4" s="139" customFormat="1" ht="12">
      <c r="A87" s="154"/>
      <c r="B87" s="156" t="s">
        <v>354</v>
      </c>
      <c r="C87" s="151" t="s">
        <v>39</v>
      </c>
      <c r="D87" s="153">
        <v>5220.1</v>
      </c>
    </row>
    <row r="88" spans="1:4" s="139" customFormat="1" ht="24">
      <c r="A88" s="154" t="s">
        <v>234</v>
      </c>
      <c r="B88" s="170" t="s">
        <v>376</v>
      </c>
      <c r="C88" s="151"/>
      <c r="D88" s="153"/>
    </row>
    <row r="89" spans="1:4" s="139" customFormat="1" ht="12">
      <c r="A89" s="154"/>
      <c r="B89" s="157" t="s">
        <v>36</v>
      </c>
      <c r="C89" s="151" t="s">
        <v>86</v>
      </c>
      <c r="D89" s="153">
        <v>1274.6</v>
      </c>
    </row>
    <row r="90" spans="1:4" s="139" customFormat="1" ht="12">
      <c r="A90" s="154"/>
      <c r="B90" s="156" t="s">
        <v>353</v>
      </c>
      <c r="C90" s="151" t="s">
        <v>39</v>
      </c>
      <c r="D90" s="153">
        <v>1636.5</v>
      </c>
    </row>
    <row r="91" spans="1:4" s="139" customFormat="1" ht="12">
      <c r="A91" s="154"/>
      <c r="B91" s="156" t="s">
        <v>354</v>
      </c>
      <c r="C91" s="151" t="s">
        <v>39</v>
      </c>
      <c r="D91" s="153">
        <v>2444.3</v>
      </c>
    </row>
    <row r="92" spans="1:4" s="139" customFormat="1" ht="24">
      <c r="A92" s="154" t="s">
        <v>235</v>
      </c>
      <c r="B92" s="170" t="s">
        <v>377</v>
      </c>
      <c r="C92" s="151"/>
      <c r="D92" s="153"/>
    </row>
    <row r="93" spans="1:4" s="139" customFormat="1" ht="12">
      <c r="A93" s="154"/>
      <c r="B93" s="157" t="s">
        <v>36</v>
      </c>
      <c r="C93" s="151" t="s">
        <v>86</v>
      </c>
      <c r="D93" s="153">
        <v>3082.5</v>
      </c>
    </row>
    <row r="94" spans="1:4" s="139" customFormat="1" ht="12">
      <c r="A94" s="154"/>
      <c r="B94" s="156" t="s">
        <v>353</v>
      </c>
      <c r="C94" s="151" t="s">
        <v>39</v>
      </c>
      <c r="D94" s="153">
        <v>4747.8</v>
      </c>
    </row>
    <row r="95" spans="1:4" s="139" customFormat="1" ht="12">
      <c r="A95" s="154"/>
      <c r="B95" s="156" t="s">
        <v>354</v>
      </c>
      <c r="C95" s="151" t="s">
        <v>39</v>
      </c>
      <c r="D95" s="153">
        <v>6898</v>
      </c>
    </row>
    <row r="96" spans="1:4" s="139" customFormat="1" ht="24">
      <c r="A96" s="154" t="s">
        <v>236</v>
      </c>
      <c r="B96" s="170" t="s">
        <v>378</v>
      </c>
      <c r="C96" s="151"/>
      <c r="D96" s="153"/>
    </row>
    <row r="97" spans="1:4" s="139" customFormat="1" ht="12">
      <c r="A97" s="154"/>
      <c r="B97" s="157" t="s">
        <v>36</v>
      </c>
      <c r="C97" s="151" t="s">
        <v>86</v>
      </c>
      <c r="D97" s="153">
        <v>1294.2</v>
      </c>
    </row>
    <row r="98" spans="1:4" s="139" customFormat="1" ht="12">
      <c r="A98" s="154"/>
      <c r="B98" s="156" t="s">
        <v>353</v>
      </c>
      <c r="C98" s="151" t="s">
        <v>39</v>
      </c>
      <c r="D98" s="153">
        <v>2320.1</v>
      </c>
    </row>
    <row r="99" spans="1:4" s="139" customFormat="1" ht="12">
      <c r="A99" s="154"/>
      <c r="B99" s="156" t="s">
        <v>354</v>
      </c>
      <c r="C99" s="151" t="s">
        <v>39</v>
      </c>
      <c r="D99" s="153">
        <v>3304</v>
      </c>
    </row>
    <row r="100" spans="1:4" s="139" customFormat="1" ht="24">
      <c r="A100" s="154" t="s">
        <v>237</v>
      </c>
      <c r="B100" s="170" t="s">
        <v>379</v>
      </c>
      <c r="C100" s="151"/>
      <c r="D100" s="153"/>
    </row>
    <row r="101" spans="1:4" s="139" customFormat="1" ht="12">
      <c r="A101" s="154"/>
      <c r="B101" s="157" t="s">
        <v>36</v>
      </c>
      <c r="C101" s="151" t="s">
        <v>86</v>
      </c>
      <c r="D101" s="153">
        <v>1274.6</v>
      </c>
    </row>
    <row r="102" spans="1:4" s="139" customFormat="1" ht="12">
      <c r="A102" s="154"/>
      <c r="B102" s="156" t="s">
        <v>353</v>
      </c>
      <c r="C102" s="151" t="s">
        <v>39</v>
      </c>
      <c r="D102" s="153">
        <v>1636.5</v>
      </c>
    </row>
    <row r="103" spans="1:4" s="139" customFormat="1" ht="12">
      <c r="A103" s="154"/>
      <c r="B103" s="156" t="s">
        <v>354</v>
      </c>
      <c r="C103" s="151" t="s">
        <v>39</v>
      </c>
      <c r="D103" s="153">
        <v>2444.3</v>
      </c>
    </row>
    <row r="104" spans="1:4" s="139" customFormat="1" ht="24">
      <c r="A104" s="154" t="s">
        <v>238</v>
      </c>
      <c r="B104" s="173" t="s">
        <v>380</v>
      </c>
      <c r="C104" s="151"/>
      <c r="D104" s="153"/>
    </row>
    <row r="105" spans="1:4" s="139" customFormat="1" ht="12">
      <c r="A105" s="154"/>
      <c r="B105" s="157" t="s">
        <v>36</v>
      </c>
      <c r="C105" s="151" t="s">
        <v>86</v>
      </c>
      <c r="D105" s="153">
        <v>3553.1</v>
      </c>
    </row>
    <row r="106" spans="1:4" s="139" customFormat="1" ht="12">
      <c r="A106" s="154"/>
      <c r="B106" s="156" t="s">
        <v>353</v>
      </c>
      <c r="C106" s="151" t="s">
        <v>39</v>
      </c>
      <c r="D106" s="153">
        <v>6985</v>
      </c>
    </row>
    <row r="107" spans="1:4" s="139" customFormat="1" ht="12">
      <c r="A107" s="154"/>
      <c r="B107" s="156" t="s">
        <v>354</v>
      </c>
      <c r="C107" s="151" t="s">
        <v>39</v>
      </c>
      <c r="D107" s="153">
        <v>13149.7</v>
      </c>
    </row>
    <row r="108" spans="1:4" s="139" customFormat="1" ht="24">
      <c r="A108" s="154" t="s">
        <v>239</v>
      </c>
      <c r="B108" s="170" t="s">
        <v>381</v>
      </c>
      <c r="C108" s="151"/>
      <c r="D108" s="153"/>
    </row>
    <row r="109" spans="1:4" s="139" customFormat="1" ht="12">
      <c r="A109" s="154"/>
      <c r="B109" s="157" t="s">
        <v>36</v>
      </c>
      <c r="C109" s="151" t="s">
        <v>86</v>
      </c>
      <c r="D109" s="153">
        <v>2372.7</v>
      </c>
    </row>
    <row r="110" spans="1:4" s="139" customFormat="1" ht="12">
      <c r="A110" s="154"/>
      <c r="B110" s="156" t="s">
        <v>353</v>
      </c>
      <c r="C110" s="151" t="s">
        <v>39</v>
      </c>
      <c r="D110" s="153">
        <v>3842.6</v>
      </c>
    </row>
    <row r="111" spans="1:4" s="139" customFormat="1" ht="12">
      <c r="A111" s="154"/>
      <c r="B111" s="156" t="s">
        <v>354</v>
      </c>
      <c r="C111" s="151" t="s">
        <v>39</v>
      </c>
      <c r="D111" s="153">
        <v>5220.1</v>
      </c>
    </row>
    <row r="112" spans="1:4" s="139" customFormat="1" ht="24">
      <c r="A112" s="154" t="s">
        <v>240</v>
      </c>
      <c r="B112" s="170" t="s">
        <v>382</v>
      </c>
      <c r="C112" s="151"/>
      <c r="D112" s="153"/>
    </row>
    <row r="113" spans="1:4" s="139" customFormat="1" ht="12">
      <c r="A113" s="154"/>
      <c r="B113" s="157" t="s">
        <v>36</v>
      </c>
      <c r="C113" s="151" t="s">
        <v>86</v>
      </c>
      <c r="D113" s="153">
        <v>460.8</v>
      </c>
    </row>
    <row r="114" spans="1:4" s="139" customFormat="1" ht="12">
      <c r="A114" s="154"/>
      <c r="B114" s="156" t="s">
        <v>353</v>
      </c>
      <c r="C114" s="151" t="s">
        <v>39</v>
      </c>
      <c r="D114" s="153">
        <v>1553.6</v>
      </c>
    </row>
    <row r="115" spans="1:4" s="139" customFormat="1" ht="12">
      <c r="A115" s="154"/>
      <c r="B115" s="156" t="s">
        <v>354</v>
      </c>
      <c r="C115" s="151" t="s">
        <v>39</v>
      </c>
      <c r="D115" s="153">
        <v>4546.9</v>
      </c>
    </row>
    <row r="116" spans="1:4" s="139" customFormat="1" ht="24">
      <c r="A116" s="154" t="s">
        <v>241</v>
      </c>
      <c r="B116" s="170" t="s">
        <v>383</v>
      </c>
      <c r="C116" s="151"/>
      <c r="D116" s="153"/>
    </row>
    <row r="117" spans="1:4" s="139" customFormat="1" ht="12">
      <c r="A117" s="154"/>
      <c r="B117" s="157" t="s">
        <v>36</v>
      </c>
      <c r="C117" s="151" t="s">
        <v>86</v>
      </c>
      <c r="D117" s="153">
        <v>2258.9</v>
      </c>
    </row>
    <row r="118" spans="1:4" s="139" customFormat="1" ht="12">
      <c r="A118" s="154"/>
      <c r="B118" s="156" t="s">
        <v>353</v>
      </c>
      <c r="C118" s="151" t="s">
        <v>39</v>
      </c>
      <c r="D118" s="153">
        <v>5158</v>
      </c>
    </row>
    <row r="119" spans="1:4" s="139" customFormat="1" ht="12">
      <c r="A119" s="154"/>
      <c r="B119" s="156" t="s">
        <v>354</v>
      </c>
      <c r="C119" s="151" t="s">
        <v>39</v>
      </c>
      <c r="D119" s="153">
        <v>10912.5</v>
      </c>
    </row>
    <row r="120" spans="1:4" s="139" customFormat="1" ht="24">
      <c r="A120" s="154" t="s">
        <v>242</v>
      </c>
      <c r="B120" s="170" t="s">
        <v>384</v>
      </c>
      <c r="C120" s="151"/>
      <c r="D120" s="153"/>
    </row>
    <row r="121" spans="1:4" s="139" customFormat="1" ht="12">
      <c r="A121" s="154"/>
      <c r="B121" s="157" t="s">
        <v>36</v>
      </c>
      <c r="C121" s="151" t="s">
        <v>86</v>
      </c>
      <c r="D121" s="153">
        <v>1294.2</v>
      </c>
    </row>
    <row r="122" spans="1:4" s="139" customFormat="1" ht="12">
      <c r="A122" s="154"/>
      <c r="B122" s="156" t="s">
        <v>353</v>
      </c>
      <c r="C122" s="151" t="s">
        <v>39</v>
      </c>
      <c r="D122" s="153">
        <v>2320.1</v>
      </c>
    </row>
    <row r="123" spans="1:4" s="139" customFormat="1" ht="12">
      <c r="A123" s="154"/>
      <c r="B123" s="156" t="s">
        <v>354</v>
      </c>
      <c r="C123" s="151" t="s">
        <v>39</v>
      </c>
      <c r="D123" s="153">
        <v>3304</v>
      </c>
    </row>
    <row r="124" spans="1:4" s="139" customFormat="1" ht="24" customHeight="1">
      <c r="A124" s="154" t="s">
        <v>243</v>
      </c>
      <c r="B124" s="170" t="s">
        <v>385</v>
      </c>
      <c r="C124" s="151"/>
      <c r="D124" s="153"/>
    </row>
    <row r="125" spans="1:4" s="139" customFormat="1" ht="12">
      <c r="A125" s="154"/>
      <c r="B125" s="157" t="s">
        <v>36</v>
      </c>
      <c r="C125" s="151" t="s">
        <v>86</v>
      </c>
      <c r="D125" s="153">
        <v>460.8</v>
      </c>
    </row>
    <row r="126" spans="1:4" s="139" customFormat="1" ht="12">
      <c r="A126" s="154"/>
      <c r="B126" s="156" t="s">
        <v>353</v>
      </c>
      <c r="C126" s="151" t="s">
        <v>39</v>
      </c>
      <c r="D126" s="153">
        <v>1553.6</v>
      </c>
    </row>
    <row r="127" spans="1:4" s="139" customFormat="1" ht="12">
      <c r="A127" s="154"/>
      <c r="B127" s="156" t="s">
        <v>354</v>
      </c>
      <c r="C127" s="151" t="s">
        <v>39</v>
      </c>
      <c r="D127" s="153">
        <v>4546.9</v>
      </c>
    </row>
    <row r="128" spans="1:4" s="139" customFormat="1" ht="14.25" customHeight="1">
      <c r="A128" s="154" t="s">
        <v>244</v>
      </c>
      <c r="B128" s="155" t="s">
        <v>386</v>
      </c>
      <c r="C128" s="151"/>
      <c r="D128" s="153"/>
    </row>
    <row r="129" spans="1:4" s="139" customFormat="1" ht="12">
      <c r="A129" s="154"/>
      <c r="B129" s="157" t="s">
        <v>36</v>
      </c>
      <c r="C129" s="151" t="s">
        <v>51</v>
      </c>
      <c r="D129" s="153">
        <v>2117.8</v>
      </c>
    </row>
    <row r="130" spans="1:4" s="139" customFormat="1" ht="12">
      <c r="A130" s="154"/>
      <c r="B130" s="156" t="s">
        <v>353</v>
      </c>
      <c r="C130" s="151" t="s">
        <v>39</v>
      </c>
      <c r="D130" s="153">
        <v>2945.6</v>
      </c>
    </row>
    <row r="131" spans="1:4" s="139" customFormat="1" ht="12">
      <c r="A131" s="154"/>
      <c r="B131" s="156" t="s">
        <v>354</v>
      </c>
      <c r="C131" s="151" t="s">
        <v>39</v>
      </c>
      <c r="D131" s="153">
        <v>3504.9</v>
      </c>
    </row>
    <row r="132" spans="1:4" s="139" customFormat="1" ht="12" customHeight="1">
      <c r="A132" s="154" t="s">
        <v>245</v>
      </c>
      <c r="B132" s="155" t="s">
        <v>387</v>
      </c>
      <c r="C132" s="151"/>
      <c r="D132" s="153"/>
    </row>
    <row r="133" spans="1:4" s="139" customFormat="1" ht="12">
      <c r="A133" s="154"/>
      <c r="B133" s="157" t="s">
        <v>36</v>
      </c>
      <c r="C133" s="151" t="s">
        <v>51</v>
      </c>
      <c r="D133" s="153">
        <v>1205.9</v>
      </c>
    </row>
    <row r="134" spans="1:4" s="139" customFormat="1" ht="12">
      <c r="A134" s="154"/>
      <c r="B134" s="156" t="s">
        <v>353</v>
      </c>
      <c r="C134" s="151" t="s">
        <v>39</v>
      </c>
      <c r="D134" s="153">
        <v>1864.3</v>
      </c>
    </row>
    <row r="135" spans="1:4" s="139" customFormat="1" ht="12">
      <c r="A135" s="154"/>
      <c r="B135" s="156" t="s">
        <v>354</v>
      </c>
      <c r="C135" s="151" t="s">
        <v>39</v>
      </c>
      <c r="D135" s="153">
        <v>2330.4</v>
      </c>
    </row>
    <row r="136" spans="1:4" s="139" customFormat="1" ht="37.5" customHeight="1">
      <c r="A136" s="154" t="s">
        <v>246</v>
      </c>
      <c r="B136" s="170" t="s">
        <v>388</v>
      </c>
      <c r="C136" s="151"/>
      <c r="D136" s="153"/>
    </row>
    <row r="137" spans="1:4" s="139" customFormat="1" ht="12">
      <c r="A137" s="154"/>
      <c r="B137" s="157" t="s">
        <v>36</v>
      </c>
      <c r="C137" s="151" t="s">
        <v>51</v>
      </c>
      <c r="D137" s="153">
        <v>10494.7</v>
      </c>
    </row>
    <row r="138" spans="1:4" s="139" customFormat="1" ht="12">
      <c r="A138" s="154"/>
      <c r="B138" s="156" t="s">
        <v>353</v>
      </c>
      <c r="C138" s="151" t="s">
        <v>39</v>
      </c>
      <c r="D138" s="153">
        <v>14268.3</v>
      </c>
    </row>
    <row r="139" spans="1:4" s="139" customFormat="1" ht="12">
      <c r="A139" s="154"/>
      <c r="B139" s="156" t="s">
        <v>354</v>
      </c>
      <c r="C139" s="151" t="s">
        <v>39</v>
      </c>
      <c r="D139" s="153">
        <v>23254.4</v>
      </c>
    </row>
    <row r="140" spans="1:4" s="139" customFormat="1" ht="24.75" customHeight="1">
      <c r="A140" s="154" t="s">
        <v>247</v>
      </c>
      <c r="B140" s="170" t="s">
        <v>389</v>
      </c>
      <c r="C140" s="151"/>
      <c r="D140" s="153"/>
    </row>
    <row r="141" spans="1:4" s="139" customFormat="1" ht="12">
      <c r="A141" s="154"/>
      <c r="B141" s="157" t="s">
        <v>36</v>
      </c>
      <c r="C141" s="151" t="s">
        <v>51</v>
      </c>
      <c r="D141" s="153">
        <v>5098.3</v>
      </c>
    </row>
    <row r="142" spans="1:4" s="139" customFormat="1" ht="12">
      <c r="A142" s="154"/>
      <c r="B142" s="156" t="s">
        <v>353</v>
      </c>
      <c r="C142" s="151" t="s">
        <v>39</v>
      </c>
      <c r="D142" s="153">
        <v>8047.7</v>
      </c>
    </row>
    <row r="143" spans="1:4" s="139" customFormat="1" ht="12">
      <c r="A143" s="154"/>
      <c r="B143" s="156" t="s">
        <v>354</v>
      </c>
      <c r="C143" s="151" t="s">
        <v>39</v>
      </c>
      <c r="D143" s="153">
        <v>15525.7</v>
      </c>
    </row>
    <row r="144" spans="1:4" s="139" customFormat="1" ht="37.5" customHeight="1">
      <c r="A144" s="154" t="s">
        <v>248</v>
      </c>
      <c r="B144" s="170" t="s">
        <v>390</v>
      </c>
      <c r="C144" s="151"/>
      <c r="D144" s="153"/>
    </row>
    <row r="145" spans="1:4" s="139" customFormat="1" ht="12">
      <c r="A145" s="154"/>
      <c r="B145" s="157" t="s">
        <v>36</v>
      </c>
      <c r="C145" s="151" t="s">
        <v>51</v>
      </c>
      <c r="D145" s="153">
        <v>2164.8</v>
      </c>
    </row>
    <row r="146" spans="1:4" s="139" customFormat="1" ht="12">
      <c r="A146" s="154"/>
      <c r="B146" s="156" t="s">
        <v>353</v>
      </c>
      <c r="C146" s="151" t="s">
        <v>39</v>
      </c>
      <c r="D146" s="153">
        <v>2982.9</v>
      </c>
    </row>
    <row r="147" spans="1:4" s="139" customFormat="1" ht="12">
      <c r="A147" s="154"/>
      <c r="B147" s="156" t="s">
        <v>354</v>
      </c>
      <c r="C147" s="151" t="s">
        <v>39</v>
      </c>
      <c r="D147" s="153">
        <v>4946.7</v>
      </c>
    </row>
    <row r="148" spans="1:4" s="139" customFormat="1" ht="36" customHeight="1">
      <c r="A148" s="154" t="s">
        <v>249</v>
      </c>
      <c r="B148" s="170" t="s">
        <v>391</v>
      </c>
      <c r="C148" s="151"/>
      <c r="D148" s="153"/>
    </row>
    <row r="149" spans="1:4" s="139" customFormat="1" ht="12">
      <c r="A149" s="154"/>
      <c r="B149" s="157" t="s">
        <v>36</v>
      </c>
      <c r="C149" s="151" t="s">
        <v>51</v>
      </c>
      <c r="D149" s="153">
        <v>254.9</v>
      </c>
    </row>
    <row r="150" spans="1:4" s="139" customFormat="1" ht="12">
      <c r="A150" s="154"/>
      <c r="B150" s="156" t="s">
        <v>353</v>
      </c>
      <c r="C150" s="151" t="s">
        <v>39</v>
      </c>
      <c r="D150" s="153">
        <v>849.3</v>
      </c>
    </row>
    <row r="151" spans="1:4" s="139" customFormat="1" ht="12">
      <c r="A151" s="154"/>
      <c r="B151" s="156" t="s">
        <v>354</v>
      </c>
      <c r="C151" s="151" t="s">
        <v>39</v>
      </c>
      <c r="D151" s="153">
        <v>2485.8</v>
      </c>
    </row>
    <row r="152" spans="1:4" s="139" customFormat="1" ht="35.25" customHeight="1">
      <c r="A152" s="154" t="s">
        <v>250</v>
      </c>
      <c r="B152" s="170" t="s">
        <v>392</v>
      </c>
      <c r="C152" s="151"/>
      <c r="D152" s="153"/>
    </row>
    <row r="153" spans="1:4" s="139" customFormat="1" ht="12">
      <c r="A153" s="154"/>
      <c r="B153" s="157" t="s">
        <v>36</v>
      </c>
      <c r="C153" s="151" t="s">
        <v>51</v>
      </c>
      <c r="D153" s="153">
        <v>9553.5</v>
      </c>
    </row>
    <row r="154" spans="1:4" s="139" customFormat="1" ht="12">
      <c r="A154" s="154"/>
      <c r="B154" s="156" t="s">
        <v>353</v>
      </c>
      <c r="C154" s="151" t="s">
        <v>39</v>
      </c>
      <c r="D154" s="153">
        <v>11186</v>
      </c>
    </row>
    <row r="155" spans="1:4" s="139" customFormat="1" ht="12">
      <c r="A155" s="154"/>
      <c r="B155" s="156" t="s">
        <v>354</v>
      </c>
      <c r="C155" s="151" t="s">
        <v>39</v>
      </c>
      <c r="D155" s="153">
        <v>14168.9</v>
      </c>
    </row>
    <row r="156" spans="1:4" s="139" customFormat="1" ht="24" customHeight="1">
      <c r="A156" s="154" t="s">
        <v>251</v>
      </c>
      <c r="B156" s="170" t="s">
        <v>393</v>
      </c>
      <c r="C156" s="151"/>
      <c r="D156" s="153"/>
    </row>
    <row r="157" spans="1:4" s="139" customFormat="1" ht="12">
      <c r="A157" s="154"/>
      <c r="B157" s="157" t="s">
        <v>36</v>
      </c>
      <c r="C157" s="151" t="s">
        <v>51</v>
      </c>
      <c r="D157" s="153">
        <v>2029.5</v>
      </c>
    </row>
    <row r="158" spans="1:4" s="139" customFormat="1" ht="12">
      <c r="A158" s="154"/>
      <c r="B158" s="156" t="s">
        <v>353</v>
      </c>
      <c r="C158" s="151" t="s">
        <v>39</v>
      </c>
      <c r="D158" s="153">
        <v>3055.4</v>
      </c>
    </row>
    <row r="159" spans="1:4" s="139" customFormat="1" ht="12">
      <c r="A159" s="154"/>
      <c r="B159" s="156" t="s">
        <v>354</v>
      </c>
      <c r="C159" s="151" t="s">
        <v>39</v>
      </c>
      <c r="D159" s="153">
        <v>5541.2</v>
      </c>
    </row>
    <row r="160" spans="1:4" s="139" customFormat="1" ht="25.5" customHeight="1">
      <c r="A160" s="154" t="s">
        <v>252</v>
      </c>
      <c r="B160" s="170" t="s">
        <v>394</v>
      </c>
      <c r="C160" s="151"/>
      <c r="D160" s="153"/>
    </row>
    <row r="161" spans="1:4" s="139" customFormat="1" ht="12">
      <c r="A161" s="154"/>
      <c r="B161" s="157" t="s">
        <v>36</v>
      </c>
      <c r="C161" s="151" t="s">
        <v>107</v>
      </c>
      <c r="D161" s="153">
        <v>7565.1</v>
      </c>
    </row>
    <row r="162" spans="1:4" s="139" customFormat="1" ht="12">
      <c r="A162" s="154"/>
      <c r="B162" s="156" t="s">
        <v>353</v>
      </c>
      <c r="C162" s="151" t="s">
        <v>39</v>
      </c>
      <c r="D162" s="153">
        <v>10452.7</v>
      </c>
    </row>
    <row r="163" spans="1:4" s="139" customFormat="1" ht="12">
      <c r="A163" s="154"/>
      <c r="B163" s="156" t="s">
        <v>354</v>
      </c>
      <c r="C163" s="151" t="s">
        <v>39</v>
      </c>
      <c r="D163" s="153">
        <v>13709</v>
      </c>
    </row>
    <row r="164" spans="1:4" s="139" customFormat="1" ht="29.25" customHeight="1">
      <c r="A164" s="154" t="s">
        <v>253</v>
      </c>
      <c r="B164" s="170" t="s">
        <v>395</v>
      </c>
      <c r="C164" s="151"/>
      <c r="D164" s="153"/>
    </row>
    <row r="165" spans="1:4" s="139" customFormat="1" ht="12">
      <c r="A165" s="154"/>
      <c r="B165" s="157" t="s">
        <v>36</v>
      </c>
      <c r="C165" s="151" t="s">
        <v>107</v>
      </c>
      <c r="D165" s="153">
        <v>2147.2</v>
      </c>
    </row>
    <row r="166" spans="1:4" s="139" customFormat="1" ht="12">
      <c r="A166" s="154"/>
      <c r="B166" s="156" t="s">
        <v>353</v>
      </c>
      <c r="C166" s="151" t="s">
        <v>39</v>
      </c>
      <c r="D166" s="153">
        <v>3335.1</v>
      </c>
    </row>
    <row r="167" spans="1:4" s="139" customFormat="1" ht="12">
      <c r="A167" s="154"/>
      <c r="B167" s="156" t="s">
        <v>354</v>
      </c>
      <c r="C167" s="151" t="s">
        <v>39</v>
      </c>
      <c r="D167" s="153">
        <v>4433</v>
      </c>
    </row>
    <row r="168" spans="1:4" s="139" customFormat="1" ht="30.75" customHeight="1">
      <c r="A168" s="154" t="s">
        <v>254</v>
      </c>
      <c r="B168" s="170" t="s">
        <v>396</v>
      </c>
      <c r="C168" s="151"/>
      <c r="D168" s="153"/>
    </row>
    <row r="169" spans="1:4" s="139" customFormat="1" ht="12">
      <c r="A169" s="154"/>
      <c r="B169" s="157" t="s">
        <v>36</v>
      </c>
      <c r="C169" s="151" t="s">
        <v>107</v>
      </c>
      <c r="D169" s="153">
        <v>1137.3</v>
      </c>
    </row>
    <row r="170" spans="1:4" s="139" customFormat="1" ht="12">
      <c r="A170" s="154"/>
      <c r="B170" s="156" t="s">
        <v>353</v>
      </c>
      <c r="C170" s="151" t="s">
        <v>39</v>
      </c>
      <c r="D170" s="153">
        <v>2185.4</v>
      </c>
    </row>
    <row r="171" spans="1:4" s="139" customFormat="1" ht="12">
      <c r="A171" s="154"/>
      <c r="B171" s="156" t="s">
        <v>354</v>
      </c>
      <c r="C171" s="151" t="s">
        <v>39</v>
      </c>
      <c r="D171" s="153">
        <v>3790.8</v>
      </c>
    </row>
    <row r="172" spans="1:4" s="139" customFormat="1" ht="27" customHeight="1">
      <c r="A172" s="154" t="s">
        <v>255</v>
      </c>
      <c r="B172" s="170" t="s">
        <v>397</v>
      </c>
      <c r="C172" s="151"/>
      <c r="D172" s="153"/>
    </row>
    <row r="173" spans="1:4" s="139" customFormat="1" ht="12">
      <c r="A173" s="154"/>
      <c r="B173" s="157" t="s">
        <v>36</v>
      </c>
      <c r="C173" s="151" t="s">
        <v>107</v>
      </c>
      <c r="D173" s="153">
        <v>6388.6</v>
      </c>
    </row>
    <row r="174" spans="1:4" s="139" customFormat="1" ht="12">
      <c r="A174" s="154"/>
      <c r="B174" s="156" t="s">
        <v>353</v>
      </c>
      <c r="C174" s="151" t="s">
        <v>39</v>
      </c>
      <c r="D174" s="153">
        <v>8849.3</v>
      </c>
    </row>
    <row r="175" spans="1:4" s="139" customFormat="1" ht="12">
      <c r="A175" s="154"/>
      <c r="B175" s="156" t="s">
        <v>354</v>
      </c>
      <c r="C175" s="151" t="s">
        <v>39</v>
      </c>
      <c r="D175" s="153">
        <v>11720.4</v>
      </c>
    </row>
    <row r="176" spans="1:4" s="139" customFormat="1" ht="23.25" customHeight="1">
      <c r="A176" s="154" t="s">
        <v>256</v>
      </c>
      <c r="B176" s="170" t="s">
        <v>398</v>
      </c>
      <c r="C176" s="151"/>
      <c r="D176" s="153"/>
    </row>
    <row r="177" spans="1:4" s="139" customFormat="1" ht="12">
      <c r="A177" s="154"/>
      <c r="B177" s="157" t="s">
        <v>36</v>
      </c>
      <c r="C177" s="151" t="s">
        <v>107</v>
      </c>
      <c r="D177" s="153">
        <v>1166.7</v>
      </c>
    </row>
    <row r="178" spans="1:4" s="139" customFormat="1" ht="12">
      <c r="A178" s="154"/>
      <c r="B178" s="156" t="s">
        <v>353</v>
      </c>
      <c r="C178" s="151" t="s">
        <v>39</v>
      </c>
      <c r="D178" s="153">
        <v>1999</v>
      </c>
    </row>
    <row r="179" spans="1:4" s="139" customFormat="1" ht="12">
      <c r="A179" s="154"/>
      <c r="B179" s="156" t="s">
        <v>354</v>
      </c>
      <c r="C179" s="151" t="s">
        <v>39</v>
      </c>
      <c r="D179" s="153">
        <v>2786.1</v>
      </c>
    </row>
    <row r="180" spans="1:4" s="139" customFormat="1" ht="24.75" customHeight="1">
      <c r="A180" s="154" t="s">
        <v>257</v>
      </c>
      <c r="B180" s="170" t="s">
        <v>396</v>
      </c>
      <c r="C180" s="151"/>
      <c r="D180" s="153"/>
    </row>
    <row r="181" spans="1:4" s="139" customFormat="1" ht="12">
      <c r="A181" s="154"/>
      <c r="B181" s="157" t="s">
        <v>36</v>
      </c>
      <c r="C181" s="151" t="s">
        <v>107</v>
      </c>
      <c r="D181" s="153">
        <v>1137.3</v>
      </c>
    </row>
    <row r="182" spans="1:4" s="139" customFormat="1" ht="12">
      <c r="A182" s="154"/>
      <c r="B182" s="156" t="s">
        <v>353</v>
      </c>
      <c r="C182" s="151" t="s">
        <v>39</v>
      </c>
      <c r="D182" s="153">
        <v>2185.4</v>
      </c>
    </row>
    <row r="183" spans="1:4" s="139" customFormat="1" ht="12">
      <c r="A183" s="154"/>
      <c r="B183" s="156" t="s">
        <v>354</v>
      </c>
      <c r="C183" s="151" t="s">
        <v>39</v>
      </c>
      <c r="D183" s="153">
        <v>3790.8</v>
      </c>
    </row>
    <row r="184" spans="1:4" s="139" customFormat="1" ht="24">
      <c r="A184" s="154" t="s">
        <v>258</v>
      </c>
      <c r="B184" s="170" t="s">
        <v>399</v>
      </c>
      <c r="C184" s="151"/>
      <c r="D184" s="153"/>
    </row>
    <row r="185" spans="1:4" s="139" customFormat="1" ht="12">
      <c r="A185" s="154"/>
      <c r="B185" s="157" t="s">
        <v>36</v>
      </c>
      <c r="C185" s="151" t="s">
        <v>107</v>
      </c>
      <c r="D185" s="153">
        <v>9834.6</v>
      </c>
    </row>
    <row r="186" spans="1:4" s="139" customFormat="1" ht="12">
      <c r="A186" s="154"/>
      <c r="B186" s="156" t="s">
        <v>353</v>
      </c>
      <c r="C186" s="151" t="s">
        <v>39</v>
      </c>
      <c r="D186" s="153">
        <v>13588.5</v>
      </c>
    </row>
    <row r="187" spans="1:4" s="139" customFormat="1" ht="12">
      <c r="A187" s="154"/>
      <c r="B187" s="156" t="s">
        <v>354</v>
      </c>
      <c r="C187" s="151" t="s">
        <v>39</v>
      </c>
      <c r="D187" s="153">
        <v>17821.7</v>
      </c>
    </row>
    <row r="188" spans="1:4" s="139" customFormat="1" ht="24">
      <c r="A188" s="154" t="s">
        <v>259</v>
      </c>
      <c r="B188" s="170" t="s">
        <v>400</v>
      </c>
      <c r="C188" s="151"/>
      <c r="D188" s="153"/>
    </row>
    <row r="189" spans="1:4" s="139" customFormat="1" ht="12">
      <c r="A189" s="154"/>
      <c r="B189" s="157" t="s">
        <v>36</v>
      </c>
      <c r="C189" s="151" t="s">
        <v>107</v>
      </c>
      <c r="D189" s="153">
        <v>2147.2</v>
      </c>
    </row>
    <row r="190" spans="1:4" s="139" customFormat="1" ht="12">
      <c r="A190" s="154"/>
      <c r="B190" s="156" t="s">
        <v>353</v>
      </c>
      <c r="C190" s="151" t="s">
        <v>39</v>
      </c>
      <c r="D190" s="153">
        <v>3335.1</v>
      </c>
    </row>
    <row r="191" spans="1:4" s="139" customFormat="1" ht="12">
      <c r="A191" s="154"/>
      <c r="B191" s="156" t="s">
        <v>354</v>
      </c>
      <c r="C191" s="151" t="s">
        <v>39</v>
      </c>
      <c r="D191" s="153">
        <v>4433</v>
      </c>
    </row>
    <row r="192" spans="1:4" s="139" customFormat="1" ht="24">
      <c r="A192" s="154" t="s">
        <v>260</v>
      </c>
      <c r="B192" s="170" t="s">
        <v>401</v>
      </c>
      <c r="C192" s="151"/>
      <c r="D192" s="153"/>
    </row>
    <row r="193" spans="1:4" s="139" customFormat="1" ht="12">
      <c r="A193" s="154"/>
      <c r="B193" s="157" t="s">
        <v>36</v>
      </c>
      <c r="C193" s="151" t="s">
        <v>107</v>
      </c>
      <c r="D193" s="153">
        <v>1478.5</v>
      </c>
    </row>
    <row r="194" spans="1:4" s="139" customFormat="1" ht="12">
      <c r="A194" s="154"/>
      <c r="B194" s="156" t="s">
        <v>353</v>
      </c>
      <c r="C194" s="151" t="s">
        <v>39</v>
      </c>
      <c r="D194" s="153">
        <v>2841</v>
      </c>
    </row>
    <row r="195" spans="1:4" s="139" customFormat="1" ht="12">
      <c r="A195" s="154"/>
      <c r="B195" s="156" t="s">
        <v>354</v>
      </c>
      <c r="C195" s="151" t="s">
        <v>39</v>
      </c>
      <c r="D195" s="153">
        <v>4928</v>
      </c>
    </row>
    <row r="196" spans="1:4" s="139" customFormat="1" ht="24">
      <c r="A196" s="154" t="s">
        <v>261</v>
      </c>
      <c r="B196" s="170" t="s">
        <v>402</v>
      </c>
      <c r="C196" s="151"/>
      <c r="D196" s="153"/>
    </row>
    <row r="197" spans="1:4" s="139" customFormat="1" ht="12">
      <c r="A197" s="154"/>
      <c r="B197" s="157" t="s">
        <v>36</v>
      </c>
      <c r="C197" s="151" t="s">
        <v>107</v>
      </c>
      <c r="D197" s="153">
        <v>8305.2</v>
      </c>
    </row>
    <row r="198" spans="1:4" s="139" customFormat="1" ht="12">
      <c r="A198" s="154"/>
      <c r="B198" s="156" t="s">
        <v>353</v>
      </c>
      <c r="C198" s="151" t="s">
        <v>39</v>
      </c>
      <c r="D198" s="153">
        <v>11504.1</v>
      </c>
    </row>
    <row r="199" spans="1:4" s="139" customFormat="1" ht="12">
      <c r="A199" s="154"/>
      <c r="B199" s="156" t="s">
        <v>354</v>
      </c>
      <c r="C199" s="151" t="s">
        <v>39</v>
      </c>
      <c r="D199" s="153">
        <v>15236.5</v>
      </c>
    </row>
    <row r="200" spans="1:4" s="139" customFormat="1" ht="24">
      <c r="A200" s="154" t="s">
        <v>262</v>
      </c>
      <c r="B200" s="170" t="s">
        <v>403</v>
      </c>
      <c r="C200" s="151"/>
      <c r="D200" s="153"/>
    </row>
    <row r="201" spans="1:4" s="139" customFormat="1" ht="12">
      <c r="A201" s="154"/>
      <c r="B201" s="157" t="s">
        <v>36</v>
      </c>
      <c r="C201" s="151" t="s">
        <v>107</v>
      </c>
      <c r="D201" s="153">
        <v>1166.7</v>
      </c>
    </row>
    <row r="202" spans="1:4" s="139" customFormat="1" ht="12">
      <c r="A202" s="154"/>
      <c r="B202" s="156" t="s">
        <v>353</v>
      </c>
      <c r="C202" s="151" t="s">
        <v>39</v>
      </c>
      <c r="D202" s="153">
        <v>1999</v>
      </c>
    </row>
    <row r="203" spans="1:4" s="139" customFormat="1" ht="12">
      <c r="A203" s="154"/>
      <c r="B203" s="156" t="s">
        <v>354</v>
      </c>
      <c r="C203" s="151" t="s">
        <v>39</v>
      </c>
      <c r="D203" s="153">
        <v>2786.1</v>
      </c>
    </row>
    <row r="204" spans="1:4" s="139" customFormat="1" ht="24">
      <c r="A204" s="154" t="s">
        <v>263</v>
      </c>
      <c r="B204" s="170" t="s">
        <v>401</v>
      </c>
      <c r="C204" s="151"/>
      <c r="D204" s="153"/>
    </row>
    <row r="205" spans="1:4" s="139" customFormat="1" ht="12">
      <c r="A205" s="154"/>
      <c r="B205" s="157" t="s">
        <v>36</v>
      </c>
      <c r="C205" s="151" t="s">
        <v>107</v>
      </c>
      <c r="D205" s="153">
        <v>1478.5</v>
      </c>
    </row>
    <row r="206" spans="1:4" s="139" customFormat="1" ht="12">
      <c r="A206" s="154"/>
      <c r="B206" s="156" t="s">
        <v>353</v>
      </c>
      <c r="C206" s="151" t="s">
        <v>39</v>
      </c>
      <c r="D206" s="153">
        <v>2841</v>
      </c>
    </row>
    <row r="207" spans="1:4" s="139" customFormat="1" ht="12">
      <c r="A207" s="154"/>
      <c r="B207" s="156" t="s">
        <v>354</v>
      </c>
      <c r="C207" s="151" t="s">
        <v>39</v>
      </c>
      <c r="D207" s="153">
        <v>4928</v>
      </c>
    </row>
    <row r="208" spans="1:4" ht="24">
      <c r="A208" s="160" t="s">
        <v>264</v>
      </c>
      <c r="B208" s="174" t="s">
        <v>404</v>
      </c>
      <c r="C208" s="162" t="s">
        <v>35</v>
      </c>
      <c r="D208" s="153">
        <v>7401.2</v>
      </c>
    </row>
    <row r="209" spans="1:4" s="139" customFormat="1" ht="12">
      <c r="A209" s="156" t="s">
        <v>34</v>
      </c>
      <c r="B209" s="157" t="s">
        <v>36</v>
      </c>
      <c r="C209" s="151" t="s">
        <v>37</v>
      </c>
      <c r="D209" s="153">
        <v>2322.1</v>
      </c>
    </row>
    <row r="210" spans="1:4" s="139" customFormat="1" ht="12">
      <c r="A210" s="156" t="s">
        <v>34</v>
      </c>
      <c r="B210" s="156" t="s">
        <v>353</v>
      </c>
      <c r="C210" s="151" t="s">
        <v>39</v>
      </c>
      <c r="D210" s="153">
        <v>2905</v>
      </c>
    </row>
    <row r="211" spans="1:4" s="139" customFormat="1" ht="12">
      <c r="A211" s="156" t="s">
        <v>34</v>
      </c>
      <c r="B211" s="156" t="s">
        <v>354</v>
      </c>
      <c r="C211" s="151" t="s">
        <v>39</v>
      </c>
      <c r="D211" s="153">
        <v>5810</v>
      </c>
    </row>
    <row r="212" spans="1:4" s="139" customFormat="1" ht="12">
      <c r="A212" s="156" t="s">
        <v>34</v>
      </c>
      <c r="B212" s="156" t="s">
        <v>405</v>
      </c>
      <c r="C212" s="151" t="s">
        <v>39</v>
      </c>
      <c r="D212" s="153">
        <v>8224.6</v>
      </c>
    </row>
    <row r="213" spans="1:4" s="139" customFormat="1" ht="12">
      <c r="A213" s="156" t="s">
        <v>34</v>
      </c>
      <c r="B213" s="156" t="s">
        <v>406</v>
      </c>
      <c r="C213" s="151" t="s">
        <v>39</v>
      </c>
      <c r="D213" s="153">
        <v>10139.7</v>
      </c>
    </row>
    <row r="214" spans="1:4" s="139" customFormat="1" ht="12">
      <c r="A214" s="156" t="s">
        <v>34</v>
      </c>
      <c r="B214" s="156" t="s">
        <v>407</v>
      </c>
      <c r="C214" s="151" t="s">
        <v>39</v>
      </c>
      <c r="D214" s="153">
        <v>13359.2</v>
      </c>
    </row>
    <row r="215" spans="1:4" ht="24">
      <c r="A215" s="160" t="s">
        <v>265</v>
      </c>
      <c r="B215" s="172" t="s">
        <v>443</v>
      </c>
      <c r="C215" s="162"/>
      <c r="D215" s="153"/>
    </row>
    <row r="216" spans="1:4" ht="12">
      <c r="A216" s="160"/>
      <c r="B216" s="163" t="s">
        <v>63</v>
      </c>
      <c r="C216" s="162" t="s">
        <v>51</v>
      </c>
      <c r="D216" s="153">
        <v>957</v>
      </c>
    </row>
    <row r="217" spans="1:4" ht="12">
      <c r="A217" s="160"/>
      <c r="B217" s="163" t="s">
        <v>408</v>
      </c>
      <c r="C217" s="162" t="s">
        <v>2</v>
      </c>
      <c r="D217" s="153">
        <v>1516.3</v>
      </c>
    </row>
    <row r="218" spans="1:4" ht="12">
      <c r="A218" s="160"/>
      <c r="B218" s="163" t="s">
        <v>409</v>
      </c>
      <c r="C218" s="162" t="s">
        <v>2</v>
      </c>
      <c r="D218" s="153">
        <v>3206.6</v>
      </c>
    </row>
    <row r="219" spans="1:4" ht="36">
      <c r="A219" s="160" t="s">
        <v>266</v>
      </c>
      <c r="B219" s="172" t="s">
        <v>442</v>
      </c>
      <c r="C219" s="162"/>
      <c r="D219" s="153"/>
    </row>
    <row r="220" spans="1:4" ht="12">
      <c r="A220" s="160"/>
      <c r="B220" s="163" t="s">
        <v>63</v>
      </c>
      <c r="C220" s="162" t="s">
        <v>51</v>
      </c>
      <c r="D220" s="153">
        <v>422.6</v>
      </c>
    </row>
    <row r="221" spans="1:4" ht="12">
      <c r="A221" s="160"/>
      <c r="B221" s="163" t="s">
        <v>408</v>
      </c>
      <c r="C221" s="162" t="s">
        <v>2</v>
      </c>
      <c r="D221" s="153">
        <v>981.9</v>
      </c>
    </row>
    <row r="222" spans="1:4" ht="12">
      <c r="A222" s="160"/>
      <c r="B222" s="163" t="s">
        <v>409</v>
      </c>
      <c r="C222" s="162" t="s">
        <v>2</v>
      </c>
      <c r="D222" s="153">
        <v>2672.2</v>
      </c>
    </row>
    <row r="223" spans="1:4" ht="24">
      <c r="A223" s="160" t="s">
        <v>267</v>
      </c>
      <c r="B223" s="172" t="s">
        <v>440</v>
      </c>
      <c r="C223" s="162"/>
      <c r="D223" s="153"/>
    </row>
    <row r="224" spans="1:4" ht="12">
      <c r="A224" s="160"/>
      <c r="B224" s="163" t="s">
        <v>63</v>
      </c>
      <c r="C224" s="162" t="s">
        <v>51</v>
      </c>
      <c r="D224" s="153">
        <v>1118.6</v>
      </c>
    </row>
    <row r="225" spans="1:4" ht="12">
      <c r="A225" s="160"/>
      <c r="B225" s="163" t="s">
        <v>408</v>
      </c>
      <c r="C225" s="162" t="s">
        <v>2</v>
      </c>
      <c r="D225" s="153">
        <v>2398.8</v>
      </c>
    </row>
    <row r="226" spans="1:4" ht="12">
      <c r="A226" s="160"/>
      <c r="B226" s="163" t="s">
        <v>409</v>
      </c>
      <c r="C226" s="162" t="s">
        <v>2</v>
      </c>
      <c r="D226" s="153">
        <v>5990.7</v>
      </c>
    </row>
    <row r="227" spans="1:4" ht="24">
      <c r="A227" s="160" t="s">
        <v>268</v>
      </c>
      <c r="B227" s="172" t="s">
        <v>439</v>
      </c>
      <c r="C227" s="162"/>
      <c r="D227" s="153"/>
    </row>
    <row r="228" spans="1:4" ht="12">
      <c r="A228" s="160"/>
      <c r="B228" s="163" t="s">
        <v>63</v>
      </c>
      <c r="C228" s="162" t="s">
        <v>51</v>
      </c>
      <c r="D228" s="153">
        <v>584.2</v>
      </c>
    </row>
    <row r="229" spans="1:4" ht="12">
      <c r="A229" s="160"/>
      <c r="B229" s="163" t="s">
        <v>408</v>
      </c>
      <c r="C229" s="162" t="s">
        <v>2</v>
      </c>
      <c r="D229" s="153">
        <v>1864.3</v>
      </c>
    </row>
    <row r="230" spans="1:4" ht="12">
      <c r="A230" s="160"/>
      <c r="B230" s="163" t="s">
        <v>409</v>
      </c>
      <c r="C230" s="162" t="s">
        <v>2</v>
      </c>
      <c r="D230" s="153">
        <v>5456.3</v>
      </c>
    </row>
    <row r="231" spans="1:4" ht="24">
      <c r="A231" s="160" t="s">
        <v>269</v>
      </c>
      <c r="B231" s="172" t="s">
        <v>441</v>
      </c>
      <c r="C231" s="162"/>
      <c r="D231" s="153"/>
    </row>
    <row r="232" spans="1:4" ht="12">
      <c r="A232" s="160"/>
      <c r="B232" s="163" t="s">
        <v>63</v>
      </c>
      <c r="C232" s="162" t="s">
        <v>51</v>
      </c>
      <c r="D232" s="153">
        <v>708.4</v>
      </c>
    </row>
    <row r="233" spans="1:4" ht="12">
      <c r="A233" s="160"/>
      <c r="B233" s="163" t="s">
        <v>408</v>
      </c>
      <c r="C233" s="162" t="s">
        <v>2</v>
      </c>
      <c r="D233" s="153">
        <v>1056.5</v>
      </c>
    </row>
    <row r="234" spans="1:4" ht="12">
      <c r="A234" s="160"/>
      <c r="B234" s="163" t="s">
        <v>409</v>
      </c>
      <c r="C234" s="162" t="s">
        <v>2</v>
      </c>
      <c r="D234" s="153">
        <v>2025.9</v>
      </c>
    </row>
    <row r="235" spans="1:4" ht="24">
      <c r="A235" s="160" t="s">
        <v>270</v>
      </c>
      <c r="B235" s="172" t="s">
        <v>438</v>
      </c>
      <c r="C235" s="162"/>
      <c r="D235" s="153"/>
    </row>
    <row r="236" spans="1:4" ht="12">
      <c r="A236" s="160"/>
      <c r="B236" s="163" t="s">
        <v>63</v>
      </c>
      <c r="C236" s="162" t="s">
        <v>51</v>
      </c>
      <c r="D236" s="153">
        <v>174</v>
      </c>
    </row>
    <row r="237" spans="1:4" ht="12">
      <c r="A237" s="160"/>
      <c r="B237" s="163" t="s">
        <v>408</v>
      </c>
      <c r="C237" s="162" t="s">
        <v>2</v>
      </c>
      <c r="D237" s="153">
        <v>522</v>
      </c>
    </row>
    <row r="238" spans="1:4" ht="12">
      <c r="A238" s="160"/>
      <c r="B238" s="163" t="s">
        <v>409</v>
      </c>
      <c r="C238" s="162" t="s">
        <v>2</v>
      </c>
      <c r="D238" s="153">
        <v>1491.5</v>
      </c>
    </row>
    <row r="239" spans="1:4" s="138" customFormat="1" ht="12">
      <c r="A239" s="160" t="s">
        <v>271</v>
      </c>
      <c r="B239" s="164" t="s">
        <v>122</v>
      </c>
      <c r="C239" s="150" t="s">
        <v>118</v>
      </c>
      <c r="D239" s="153">
        <v>2220.4</v>
      </c>
    </row>
    <row r="240" spans="1:4" ht="24">
      <c r="A240" s="160" t="s">
        <v>272</v>
      </c>
      <c r="B240" s="172" t="s">
        <v>437</v>
      </c>
      <c r="C240" s="162"/>
      <c r="D240" s="153"/>
    </row>
    <row r="241" spans="1:4" ht="12">
      <c r="A241" s="160"/>
      <c r="B241" s="163" t="s">
        <v>66</v>
      </c>
      <c r="C241" s="162" t="s">
        <v>25</v>
      </c>
      <c r="D241" s="153">
        <v>818.2</v>
      </c>
    </row>
    <row r="242" spans="1:4" ht="12">
      <c r="A242" s="160"/>
      <c r="B242" s="163" t="s">
        <v>410</v>
      </c>
      <c r="C242" s="162" t="s">
        <v>2</v>
      </c>
      <c r="D242" s="153">
        <v>921.8</v>
      </c>
    </row>
    <row r="243" spans="1:4" ht="12">
      <c r="A243" s="160"/>
      <c r="B243" s="163" t="s">
        <v>411</v>
      </c>
      <c r="C243" s="162" t="s">
        <v>2</v>
      </c>
      <c r="D243" s="153">
        <v>1035.7</v>
      </c>
    </row>
    <row r="244" spans="1:4" ht="12">
      <c r="A244" s="160"/>
      <c r="B244" s="163" t="s">
        <v>412</v>
      </c>
      <c r="C244" s="162" t="s">
        <v>2</v>
      </c>
      <c r="D244" s="153">
        <v>1338.9</v>
      </c>
    </row>
    <row r="245" spans="1:4" ht="24">
      <c r="A245" s="160" t="s">
        <v>273</v>
      </c>
      <c r="B245" s="172" t="s">
        <v>436</v>
      </c>
      <c r="C245" s="162"/>
      <c r="D245" s="153"/>
    </row>
    <row r="246" spans="1:4" ht="12">
      <c r="A246" s="160"/>
      <c r="B246" s="163" t="s">
        <v>63</v>
      </c>
      <c r="C246" s="162" t="s">
        <v>24</v>
      </c>
      <c r="D246" s="153">
        <v>1657.2</v>
      </c>
    </row>
    <row r="247" spans="1:4" ht="12">
      <c r="A247" s="160"/>
      <c r="B247" s="163" t="s">
        <v>408</v>
      </c>
      <c r="C247" s="162" t="s">
        <v>2</v>
      </c>
      <c r="D247" s="153">
        <v>2900.1</v>
      </c>
    </row>
    <row r="248" spans="1:4" ht="12">
      <c r="A248" s="160"/>
      <c r="B248" s="163" t="s">
        <v>409</v>
      </c>
      <c r="C248" s="162" t="s">
        <v>2</v>
      </c>
      <c r="D248" s="153">
        <v>4142.9</v>
      </c>
    </row>
    <row r="249" spans="1:4" ht="12">
      <c r="A249" s="160"/>
      <c r="B249" s="163" t="s">
        <v>413</v>
      </c>
      <c r="C249" s="162" t="s">
        <v>2</v>
      </c>
      <c r="D249" s="153">
        <v>6110.8</v>
      </c>
    </row>
    <row r="250" spans="1:4" ht="12">
      <c r="A250" s="160"/>
      <c r="B250" s="163" t="s">
        <v>414</v>
      </c>
      <c r="C250" s="162" t="s">
        <v>2</v>
      </c>
      <c r="D250" s="153">
        <v>8596.6</v>
      </c>
    </row>
    <row r="251" spans="1:4" ht="36">
      <c r="A251" s="160" t="s">
        <v>274</v>
      </c>
      <c r="B251" s="172" t="s">
        <v>435</v>
      </c>
      <c r="C251" s="162"/>
      <c r="D251" s="153"/>
    </row>
    <row r="252" spans="1:4" ht="12">
      <c r="A252" s="160"/>
      <c r="B252" s="163" t="s">
        <v>63</v>
      </c>
      <c r="C252" s="162" t="s">
        <v>25</v>
      </c>
      <c r="D252" s="153">
        <v>5282.3</v>
      </c>
    </row>
    <row r="253" spans="1:4" ht="12">
      <c r="A253" s="160"/>
      <c r="B253" s="163" t="s">
        <v>408</v>
      </c>
      <c r="C253" s="162" t="s">
        <v>2</v>
      </c>
      <c r="D253" s="153">
        <v>6110.8</v>
      </c>
    </row>
    <row r="254" spans="1:4" ht="12">
      <c r="A254" s="160"/>
      <c r="B254" s="163" t="s">
        <v>409</v>
      </c>
      <c r="C254" s="162" t="s">
        <v>2</v>
      </c>
      <c r="D254" s="153">
        <v>6939.4</v>
      </c>
    </row>
    <row r="255" spans="1:4" ht="12">
      <c r="A255" s="160"/>
      <c r="B255" s="163" t="s">
        <v>413</v>
      </c>
      <c r="C255" s="162" t="s">
        <v>2</v>
      </c>
      <c r="D255" s="153">
        <v>8182.3</v>
      </c>
    </row>
    <row r="256" spans="1:4" ht="12">
      <c r="A256" s="160"/>
      <c r="B256" s="163" t="s">
        <v>414</v>
      </c>
      <c r="C256" s="162" t="s">
        <v>2</v>
      </c>
      <c r="D256" s="153">
        <v>9839.5</v>
      </c>
    </row>
    <row r="257" spans="1:4" ht="36">
      <c r="A257" s="160" t="s">
        <v>275</v>
      </c>
      <c r="B257" s="172" t="s">
        <v>434</v>
      </c>
      <c r="C257" s="162"/>
      <c r="D257" s="153"/>
    </row>
    <row r="258" spans="1:4" ht="12">
      <c r="A258" s="160"/>
      <c r="B258" s="163" t="s">
        <v>63</v>
      </c>
      <c r="C258" s="162" t="s">
        <v>25</v>
      </c>
      <c r="D258" s="153">
        <v>6608</v>
      </c>
    </row>
    <row r="259" spans="1:4" ht="12">
      <c r="A259" s="160"/>
      <c r="B259" s="163" t="s">
        <v>408</v>
      </c>
      <c r="C259" s="162" t="s">
        <v>2</v>
      </c>
      <c r="D259" s="153">
        <v>9943.1</v>
      </c>
    </row>
    <row r="260" spans="1:4" ht="12">
      <c r="A260" s="160"/>
      <c r="B260" s="163" t="s">
        <v>409</v>
      </c>
      <c r="C260" s="162" t="s">
        <v>2</v>
      </c>
      <c r="D260" s="153">
        <v>13257.4</v>
      </c>
    </row>
    <row r="261" spans="1:4" ht="12">
      <c r="A261" s="160"/>
      <c r="B261" s="163" t="s">
        <v>413</v>
      </c>
      <c r="C261" s="162" t="s">
        <v>2</v>
      </c>
      <c r="D261" s="153">
        <v>18436.1</v>
      </c>
    </row>
    <row r="262" spans="1:4" ht="12">
      <c r="A262" s="160"/>
      <c r="B262" s="163" t="s">
        <v>414</v>
      </c>
      <c r="C262" s="162" t="s">
        <v>2</v>
      </c>
      <c r="D262" s="153">
        <v>25272</v>
      </c>
    </row>
    <row r="263" spans="1:4" ht="12">
      <c r="A263" s="160" t="s">
        <v>276</v>
      </c>
      <c r="B263" s="161" t="s">
        <v>114</v>
      </c>
      <c r="C263" s="162"/>
      <c r="D263" s="153"/>
    </row>
    <row r="264" spans="1:4" ht="12">
      <c r="A264" s="160"/>
      <c r="B264" s="165" t="s">
        <v>428</v>
      </c>
      <c r="C264" s="162" t="s">
        <v>116</v>
      </c>
      <c r="D264" s="153">
        <v>7303.2</v>
      </c>
    </row>
    <row r="265" spans="1:4" ht="12">
      <c r="A265" s="160"/>
      <c r="B265" s="165" t="s">
        <v>429</v>
      </c>
      <c r="C265" s="162" t="s">
        <v>2</v>
      </c>
      <c r="D265" s="153">
        <v>6572.9</v>
      </c>
    </row>
    <row r="266" spans="1:4" ht="12">
      <c r="A266" s="160"/>
      <c r="B266" s="165" t="s">
        <v>430</v>
      </c>
      <c r="C266" s="162" t="s">
        <v>2</v>
      </c>
      <c r="D266" s="153">
        <v>2619.6</v>
      </c>
    </row>
    <row r="267" spans="1:4" ht="12">
      <c r="A267" s="160" t="s">
        <v>277</v>
      </c>
      <c r="B267" s="161" t="s">
        <v>123</v>
      </c>
      <c r="C267" s="162" t="s">
        <v>124</v>
      </c>
      <c r="D267" s="153">
        <v>799.3</v>
      </c>
    </row>
    <row r="268" spans="1:4" ht="12">
      <c r="A268" s="160" t="s">
        <v>278</v>
      </c>
      <c r="B268" s="161" t="s">
        <v>129</v>
      </c>
      <c r="C268" s="162" t="s">
        <v>124</v>
      </c>
      <c r="D268" s="153">
        <v>1332.2</v>
      </c>
    </row>
    <row r="269" spans="1:4" ht="36">
      <c r="A269" s="160" t="s">
        <v>279</v>
      </c>
      <c r="B269" s="172" t="s">
        <v>433</v>
      </c>
      <c r="C269" s="162"/>
      <c r="D269" s="153"/>
    </row>
    <row r="270" spans="1:4" ht="12">
      <c r="A270" s="160"/>
      <c r="B270" s="163" t="s">
        <v>209</v>
      </c>
      <c r="C270" s="162" t="s">
        <v>25</v>
      </c>
      <c r="D270" s="153">
        <v>952.6</v>
      </c>
    </row>
    <row r="271" spans="1:4" ht="12">
      <c r="A271" s="160"/>
      <c r="B271" s="163" t="s">
        <v>415</v>
      </c>
      <c r="C271" s="162" t="s">
        <v>2</v>
      </c>
      <c r="D271" s="153">
        <v>1428.9</v>
      </c>
    </row>
    <row r="272" spans="1:4" ht="12">
      <c r="A272" s="160"/>
      <c r="B272" s="163" t="s">
        <v>410</v>
      </c>
      <c r="C272" s="162" t="s">
        <v>2</v>
      </c>
      <c r="D272" s="153">
        <v>1838.5</v>
      </c>
    </row>
    <row r="273" spans="1:4" ht="12">
      <c r="A273" s="160"/>
      <c r="B273" s="163" t="s">
        <v>416</v>
      </c>
      <c r="C273" s="162" t="s">
        <v>2</v>
      </c>
      <c r="D273" s="153">
        <v>3524.6</v>
      </c>
    </row>
    <row r="274" spans="1:4" ht="12">
      <c r="A274" s="160"/>
      <c r="B274" s="163" t="s">
        <v>417</v>
      </c>
      <c r="C274" s="162" t="s">
        <v>2</v>
      </c>
      <c r="D274" s="153">
        <v>5620.3</v>
      </c>
    </row>
    <row r="275" spans="1:4" ht="24">
      <c r="A275" s="160" t="s">
        <v>280</v>
      </c>
      <c r="B275" s="174" t="s">
        <v>418</v>
      </c>
      <c r="C275" s="162" t="s">
        <v>146</v>
      </c>
      <c r="D275" s="153">
        <v>3267.4</v>
      </c>
    </row>
    <row r="276" spans="1:4" ht="36">
      <c r="A276" s="160" t="s">
        <v>281</v>
      </c>
      <c r="B276" s="175" t="s">
        <v>419</v>
      </c>
      <c r="C276" s="162" t="s">
        <v>35</v>
      </c>
      <c r="D276" s="153">
        <v>538.2</v>
      </c>
    </row>
    <row r="277" spans="1:4" ht="36">
      <c r="A277" s="160" t="s">
        <v>282</v>
      </c>
      <c r="B277" s="175" t="s">
        <v>420</v>
      </c>
      <c r="C277" s="162" t="s">
        <v>35</v>
      </c>
      <c r="D277" s="153">
        <v>665.2</v>
      </c>
    </row>
    <row r="278" spans="1:4" ht="12">
      <c r="A278" s="160" t="s">
        <v>283</v>
      </c>
      <c r="B278" s="161" t="s">
        <v>21</v>
      </c>
      <c r="C278" s="162" t="s">
        <v>10</v>
      </c>
      <c r="D278" s="153">
        <v>793.8</v>
      </c>
    </row>
    <row r="279" spans="1:4" ht="12">
      <c r="A279" s="160" t="s">
        <v>284</v>
      </c>
      <c r="B279" s="161" t="s">
        <v>22</v>
      </c>
      <c r="C279" s="162" t="s">
        <v>23</v>
      </c>
      <c r="D279" s="153">
        <v>1428.9</v>
      </c>
    </row>
    <row r="280" spans="1:4" ht="24">
      <c r="A280" s="160" t="s">
        <v>285</v>
      </c>
      <c r="B280" s="172" t="s">
        <v>431</v>
      </c>
      <c r="C280" s="162"/>
      <c r="D280" s="153">
        <v>2191</v>
      </c>
    </row>
    <row r="281" spans="1:4" ht="12">
      <c r="A281" s="160" t="s">
        <v>286</v>
      </c>
      <c r="B281" s="176" t="s">
        <v>421</v>
      </c>
      <c r="C281" s="162" t="s">
        <v>2</v>
      </c>
      <c r="D281" s="153">
        <v>1397.1</v>
      </c>
    </row>
    <row r="282" spans="1:4" ht="24">
      <c r="A282" s="160" t="s">
        <v>287</v>
      </c>
      <c r="B282" s="172" t="s">
        <v>74</v>
      </c>
      <c r="C282" s="162"/>
      <c r="D282" s="153"/>
    </row>
    <row r="283" spans="1:4" ht="12">
      <c r="A283" s="160"/>
      <c r="B283" s="163" t="s">
        <v>66</v>
      </c>
      <c r="C283" s="162" t="s">
        <v>119</v>
      </c>
      <c r="D283" s="153">
        <v>1411.8</v>
      </c>
    </row>
    <row r="284" spans="1:4" ht="12">
      <c r="A284" s="160"/>
      <c r="B284" s="163" t="s">
        <v>422</v>
      </c>
      <c r="C284" s="162" t="s">
        <v>2</v>
      </c>
      <c r="D284" s="153">
        <v>2823.7</v>
      </c>
    </row>
    <row r="285" spans="1:4" ht="12">
      <c r="A285" s="160"/>
      <c r="B285" s="163" t="s">
        <v>412</v>
      </c>
      <c r="C285" s="162" t="s">
        <v>2</v>
      </c>
      <c r="D285" s="153">
        <v>4235.5</v>
      </c>
    </row>
    <row r="286" spans="1:4" ht="12">
      <c r="A286" s="160"/>
      <c r="B286" s="163" t="s">
        <v>423</v>
      </c>
      <c r="C286" s="162" t="s">
        <v>2</v>
      </c>
      <c r="D286" s="153">
        <v>8471</v>
      </c>
    </row>
    <row r="287" spans="1:4" ht="12">
      <c r="A287" s="160" t="s">
        <v>288</v>
      </c>
      <c r="B287" s="161" t="s">
        <v>13</v>
      </c>
      <c r="C287" s="162" t="s">
        <v>10</v>
      </c>
      <c r="D287" s="153">
        <v>793.8</v>
      </c>
    </row>
    <row r="288" spans="1:4" ht="12">
      <c r="A288" s="160" t="s">
        <v>289</v>
      </c>
      <c r="B288" s="161" t="s">
        <v>14</v>
      </c>
      <c r="C288" s="162" t="s">
        <v>11</v>
      </c>
      <c r="D288" s="153">
        <v>254</v>
      </c>
    </row>
    <row r="289" spans="1:4" ht="12">
      <c r="A289" s="160" t="s">
        <v>290</v>
      </c>
      <c r="B289" s="161" t="s">
        <v>75</v>
      </c>
      <c r="C289" s="162" t="s">
        <v>10</v>
      </c>
      <c r="D289" s="153">
        <v>500.1</v>
      </c>
    </row>
    <row r="290" spans="1:4" s="139" customFormat="1" ht="24">
      <c r="A290" s="156" t="s">
        <v>291</v>
      </c>
      <c r="B290" s="170" t="s">
        <v>77</v>
      </c>
      <c r="C290" s="151"/>
      <c r="D290" s="153"/>
    </row>
    <row r="291" spans="1:4" s="139" customFormat="1" ht="12">
      <c r="A291" s="156"/>
      <c r="B291" s="156" t="s">
        <v>78</v>
      </c>
      <c r="C291" s="151" t="s">
        <v>79</v>
      </c>
      <c r="D291" s="153">
        <v>1780</v>
      </c>
    </row>
    <row r="292" spans="1:4" s="139" customFormat="1" ht="12">
      <c r="A292" s="156"/>
      <c r="B292" s="156" t="s">
        <v>424</v>
      </c>
      <c r="C292" s="151" t="s">
        <v>39</v>
      </c>
      <c r="D292" s="153">
        <v>2365</v>
      </c>
    </row>
    <row r="293" spans="1:4" s="139" customFormat="1" ht="24">
      <c r="A293" s="156" t="s">
        <v>292</v>
      </c>
      <c r="B293" s="170" t="s">
        <v>82</v>
      </c>
      <c r="C293" s="151"/>
      <c r="D293" s="153"/>
    </row>
    <row r="294" spans="1:4" s="139" customFormat="1" ht="12">
      <c r="A294" s="156"/>
      <c r="B294" s="156" t="s">
        <v>78</v>
      </c>
      <c r="C294" s="151" t="s">
        <v>79</v>
      </c>
      <c r="D294" s="153">
        <v>832.6</v>
      </c>
    </row>
    <row r="295" spans="1:4" s="139" customFormat="1" ht="12">
      <c r="A295" s="156"/>
      <c r="B295" s="156" t="s">
        <v>424</v>
      </c>
      <c r="C295" s="151" t="s">
        <v>39</v>
      </c>
      <c r="D295" s="153">
        <v>921.5</v>
      </c>
    </row>
    <row r="296" spans="1:4" s="139" customFormat="1" ht="12">
      <c r="A296" s="156" t="s">
        <v>293</v>
      </c>
      <c r="B296" s="155" t="s">
        <v>197</v>
      </c>
      <c r="C296" s="151"/>
      <c r="D296" s="153"/>
    </row>
    <row r="297" spans="1:4" s="139" customFormat="1" ht="12">
      <c r="A297" s="156"/>
      <c r="B297" s="156" t="s">
        <v>199</v>
      </c>
      <c r="C297" s="151" t="s">
        <v>198</v>
      </c>
      <c r="D297" s="153">
        <v>2514.3</v>
      </c>
    </row>
    <row r="298" spans="1:4" s="139" customFormat="1" ht="12">
      <c r="A298" s="156"/>
      <c r="B298" s="156" t="s">
        <v>425</v>
      </c>
      <c r="C298" s="151" t="s">
        <v>39</v>
      </c>
      <c r="D298" s="153">
        <v>3273.6</v>
      </c>
    </row>
    <row r="299" spans="1:4" s="139" customFormat="1" ht="12">
      <c r="A299" s="156"/>
      <c r="B299" s="156" t="s">
        <v>426</v>
      </c>
      <c r="C299" s="151" t="s">
        <v>39</v>
      </c>
      <c r="D299" s="153">
        <v>4082.7</v>
      </c>
    </row>
    <row r="300" spans="1:4" s="140" customFormat="1" ht="12.75">
      <c r="A300" s="156" t="s">
        <v>296</v>
      </c>
      <c r="B300" s="155" t="s">
        <v>485</v>
      </c>
      <c r="C300" s="151" t="s">
        <v>294</v>
      </c>
      <c r="D300" s="153"/>
    </row>
    <row r="301" spans="1:4" s="140" customFormat="1" ht="12.75">
      <c r="A301" s="156"/>
      <c r="B301" s="177" t="s">
        <v>483</v>
      </c>
      <c r="C301" s="151" t="s">
        <v>294</v>
      </c>
      <c r="D301" s="153">
        <v>2382.2</v>
      </c>
    </row>
    <row r="302" spans="1:4" s="140" customFormat="1" ht="12.75">
      <c r="A302" s="156"/>
      <c r="B302" s="177" t="s">
        <v>484</v>
      </c>
      <c r="C302" s="151"/>
      <c r="D302" s="153">
        <v>3625.1</v>
      </c>
    </row>
    <row r="303" spans="1:4" s="139" customFormat="1" ht="30.75" customHeight="1">
      <c r="A303" s="156" t="s">
        <v>324</v>
      </c>
      <c r="B303" s="170" t="s">
        <v>432</v>
      </c>
      <c r="C303" s="151"/>
      <c r="D303" s="153"/>
    </row>
    <row r="304" spans="1:4" s="139" customFormat="1" ht="13.5">
      <c r="A304" s="156"/>
      <c r="B304" s="156" t="s">
        <v>306</v>
      </c>
      <c r="C304" s="151" t="s">
        <v>342</v>
      </c>
      <c r="D304" s="153">
        <v>1221.2</v>
      </c>
    </row>
    <row r="305" spans="1:4" s="139" customFormat="1" ht="13.5">
      <c r="A305" s="156"/>
      <c r="B305" s="156" t="s">
        <v>307</v>
      </c>
      <c r="C305" s="151" t="s">
        <v>342</v>
      </c>
      <c r="D305" s="153">
        <v>1443.2</v>
      </c>
    </row>
    <row r="306" spans="1:4" s="139" customFormat="1" ht="13.5">
      <c r="A306" s="156"/>
      <c r="B306" s="156" t="s">
        <v>308</v>
      </c>
      <c r="C306" s="151" t="s">
        <v>342</v>
      </c>
      <c r="D306" s="153">
        <v>1665.3</v>
      </c>
    </row>
    <row r="307" spans="1:4" s="139" customFormat="1" ht="13.5">
      <c r="A307" s="156"/>
      <c r="B307" s="156" t="s">
        <v>309</v>
      </c>
      <c r="C307" s="151" t="s">
        <v>342</v>
      </c>
      <c r="D307" s="153">
        <v>1887.3</v>
      </c>
    </row>
    <row r="308" spans="1:4" s="141" customFormat="1" ht="13.5" customHeight="1">
      <c r="A308" s="166"/>
      <c r="B308" s="166"/>
      <c r="C308" s="166"/>
      <c r="D308" s="153">
        <v>0</v>
      </c>
    </row>
    <row r="309" spans="1:4" s="139" customFormat="1" ht="12">
      <c r="A309" s="156" t="s">
        <v>325</v>
      </c>
      <c r="B309" s="155" t="s">
        <v>312</v>
      </c>
      <c r="C309" s="151"/>
      <c r="D309" s="153"/>
    </row>
    <row r="310" spans="1:4" s="139" customFormat="1" ht="13.5">
      <c r="A310" s="156"/>
      <c r="B310" s="156" t="s">
        <v>298</v>
      </c>
      <c r="C310" s="151" t="s">
        <v>343</v>
      </c>
      <c r="D310" s="153">
        <v>366.4</v>
      </c>
    </row>
    <row r="311" spans="1:4" s="139" customFormat="1" ht="13.5">
      <c r="A311" s="156"/>
      <c r="B311" s="156" t="s">
        <v>299</v>
      </c>
      <c r="C311" s="151" t="s">
        <v>343</v>
      </c>
      <c r="D311" s="153">
        <v>466.3</v>
      </c>
    </row>
    <row r="312" spans="1:4" s="139" customFormat="1" ht="13.5">
      <c r="A312" s="156"/>
      <c r="B312" s="156" t="s">
        <v>300</v>
      </c>
      <c r="C312" s="151" t="s">
        <v>343</v>
      </c>
      <c r="D312" s="153">
        <v>643.9</v>
      </c>
    </row>
    <row r="313" spans="1:4" s="139" customFormat="1" ht="13.5">
      <c r="A313" s="156"/>
      <c r="B313" s="156" t="s">
        <v>301</v>
      </c>
      <c r="C313" s="151" t="s">
        <v>343</v>
      </c>
      <c r="D313" s="153">
        <v>832.6</v>
      </c>
    </row>
    <row r="314" spans="1:4" s="139" customFormat="1" ht="12">
      <c r="A314" s="156" t="s">
        <v>326</v>
      </c>
      <c r="B314" s="155" t="s">
        <v>302</v>
      </c>
      <c r="C314" s="151"/>
      <c r="D314" s="153"/>
    </row>
    <row r="315" spans="1:4" s="139" customFormat="1" ht="13.5">
      <c r="A315" s="156"/>
      <c r="B315" s="156" t="s">
        <v>298</v>
      </c>
      <c r="C315" s="151" t="s">
        <v>344</v>
      </c>
      <c r="D315" s="153">
        <v>999.2</v>
      </c>
    </row>
    <row r="316" spans="1:4" s="139" customFormat="1" ht="13.5">
      <c r="A316" s="156"/>
      <c r="B316" s="156" t="s">
        <v>299</v>
      </c>
      <c r="C316" s="151" t="s">
        <v>344</v>
      </c>
      <c r="D316" s="153">
        <v>1443.2</v>
      </c>
    </row>
    <row r="317" spans="1:4" s="139" customFormat="1" ht="13.5">
      <c r="A317" s="156"/>
      <c r="B317" s="156" t="s">
        <v>300</v>
      </c>
      <c r="C317" s="151" t="s">
        <v>344</v>
      </c>
      <c r="D317" s="153">
        <v>2220.4</v>
      </c>
    </row>
    <row r="318" spans="1:4" s="139" customFormat="1" ht="13.5">
      <c r="A318" s="156"/>
      <c r="B318" s="156" t="s">
        <v>301</v>
      </c>
      <c r="C318" s="151" t="s">
        <v>344</v>
      </c>
      <c r="D318" s="153">
        <v>3219.5</v>
      </c>
    </row>
    <row r="319" spans="1:4" s="139" customFormat="1" ht="13.5">
      <c r="A319" s="156" t="s">
        <v>327</v>
      </c>
      <c r="B319" s="155" t="s">
        <v>319</v>
      </c>
      <c r="C319" s="151" t="s">
        <v>345</v>
      </c>
      <c r="D319" s="153">
        <v>222</v>
      </c>
    </row>
    <row r="320" spans="1:4" s="139" customFormat="1" ht="12">
      <c r="A320" s="156" t="s">
        <v>328</v>
      </c>
      <c r="B320" s="155" t="s">
        <v>313</v>
      </c>
      <c r="C320" s="151"/>
      <c r="D320" s="153"/>
    </row>
    <row r="321" spans="1:4" s="139" customFormat="1" ht="13.5">
      <c r="A321" s="156"/>
      <c r="B321" s="154" t="s">
        <v>346</v>
      </c>
      <c r="C321" s="151" t="s">
        <v>310</v>
      </c>
      <c r="D321" s="153">
        <v>832.6</v>
      </c>
    </row>
    <row r="322" spans="1:4" s="139" customFormat="1" ht="13.5">
      <c r="A322" s="156"/>
      <c r="B322" s="154" t="s">
        <v>347</v>
      </c>
      <c r="C322" s="151" t="s">
        <v>310</v>
      </c>
      <c r="D322" s="153">
        <v>943.7</v>
      </c>
    </row>
    <row r="323" spans="1:4" s="139" customFormat="1" ht="13.5">
      <c r="A323" s="156"/>
      <c r="B323" s="154" t="s">
        <v>348</v>
      </c>
      <c r="C323" s="151" t="s">
        <v>310</v>
      </c>
      <c r="D323" s="153">
        <v>1043.6</v>
      </c>
    </row>
    <row r="324" spans="1:4" s="139" customFormat="1" ht="13.5">
      <c r="A324" s="156"/>
      <c r="B324" s="154" t="s">
        <v>349</v>
      </c>
      <c r="C324" s="151" t="s">
        <v>310</v>
      </c>
      <c r="D324" s="153">
        <v>1110.2</v>
      </c>
    </row>
    <row r="325" spans="1:4" s="139" customFormat="1" ht="12">
      <c r="A325" s="156" t="s">
        <v>329</v>
      </c>
      <c r="B325" s="155" t="s">
        <v>314</v>
      </c>
      <c r="C325" s="151"/>
      <c r="D325" s="153"/>
    </row>
    <row r="326" spans="1:4" s="139" customFormat="1" ht="13.5">
      <c r="A326" s="156"/>
      <c r="B326" s="154" t="s">
        <v>346</v>
      </c>
      <c r="C326" s="151" t="s">
        <v>310</v>
      </c>
      <c r="D326" s="153">
        <v>421.9</v>
      </c>
    </row>
    <row r="327" spans="1:4" s="139" customFormat="1" ht="13.5">
      <c r="A327" s="156"/>
      <c r="B327" s="154" t="s">
        <v>347</v>
      </c>
      <c r="C327" s="151" t="s">
        <v>310</v>
      </c>
      <c r="D327" s="153">
        <v>466.3</v>
      </c>
    </row>
    <row r="328" spans="1:4" s="139" customFormat="1" ht="13.5">
      <c r="A328" s="156"/>
      <c r="B328" s="154" t="s">
        <v>348</v>
      </c>
      <c r="C328" s="151" t="s">
        <v>310</v>
      </c>
      <c r="D328" s="153">
        <v>521.8</v>
      </c>
    </row>
    <row r="329" spans="1:4" s="139" customFormat="1" ht="13.5">
      <c r="A329" s="156"/>
      <c r="B329" s="154" t="s">
        <v>349</v>
      </c>
      <c r="C329" s="151" t="s">
        <v>310</v>
      </c>
      <c r="D329" s="153">
        <v>577.3</v>
      </c>
    </row>
    <row r="330" spans="1:4" s="139" customFormat="1" ht="13.5">
      <c r="A330" s="156" t="s">
        <v>330</v>
      </c>
      <c r="B330" s="155" t="s">
        <v>320</v>
      </c>
      <c r="C330" s="151" t="s">
        <v>345</v>
      </c>
      <c r="D330" s="153">
        <v>188.7</v>
      </c>
    </row>
    <row r="331" spans="1:4" s="139" customFormat="1" ht="12">
      <c r="A331" s="156" t="s">
        <v>331</v>
      </c>
      <c r="B331" s="155" t="s">
        <v>305</v>
      </c>
      <c r="C331" s="151"/>
      <c r="D331" s="153"/>
    </row>
    <row r="332" spans="1:4" s="139" customFormat="1" ht="13.5">
      <c r="A332" s="156"/>
      <c r="B332" s="156" t="s">
        <v>298</v>
      </c>
      <c r="C332" s="151" t="s">
        <v>344</v>
      </c>
      <c r="D332" s="153">
        <v>810.4</v>
      </c>
    </row>
    <row r="333" spans="1:4" s="139" customFormat="1" ht="13.5">
      <c r="A333" s="156"/>
      <c r="B333" s="156" t="s">
        <v>299</v>
      </c>
      <c r="C333" s="151" t="s">
        <v>344</v>
      </c>
      <c r="D333" s="153">
        <v>899.2</v>
      </c>
    </row>
    <row r="334" spans="1:4" s="139" customFormat="1" ht="13.5">
      <c r="A334" s="156"/>
      <c r="B334" s="156" t="s">
        <v>300</v>
      </c>
      <c r="C334" s="151" t="s">
        <v>344</v>
      </c>
      <c r="D334" s="153">
        <v>1110.2</v>
      </c>
    </row>
    <row r="335" spans="1:4" s="139" customFormat="1" ht="13.5">
      <c r="A335" s="156"/>
      <c r="B335" s="156" t="s">
        <v>301</v>
      </c>
      <c r="C335" s="151" t="s">
        <v>344</v>
      </c>
      <c r="D335" s="153">
        <v>1332.2</v>
      </c>
    </row>
    <row r="336" spans="1:4" s="139" customFormat="1" ht="12">
      <c r="A336" s="156" t="s">
        <v>332</v>
      </c>
      <c r="B336" s="155" t="s">
        <v>323</v>
      </c>
      <c r="C336" s="151"/>
      <c r="D336" s="153"/>
    </row>
    <row r="337" spans="1:4" s="139" customFormat="1" ht="13.5">
      <c r="A337" s="156"/>
      <c r="B337" s="156" t="s">
        <v>298</v>
      </c>
      <c r="C337" s="151" t="s">
        <v>343</v>
      </c>
      <c r="D337" s="153">
        <v>147.1</v>
      </c>
    </row>
    <row r="338" spans="1:4" s="139" customFormat="1" ht="13.5">
      <c r="A338" s="156"/>
      <c r="B338" s="156" t="s">
        <v>299</v>
      </c>
      <c r="C338" s="151" t="s">
        <v>343</v>
      </c>
      <c r="D338" s="153">
        <v>171.2</v>
      </c>
    </row>
    <row r="339" spans="1:4" s="139" customFormat="1" ht="13.5">
      <c r="A339" s="156"/>
      <c r="B339" s="156" t="s">
        <v>300</v>
      </c>
      <c r="C339" s="151" t="s">
        <v>343</v>
      </c>
      <c r="D339" s="153">
        <v>199.8</v>
      </c>
    </row>
    <row r="340" spans="1:4" s="139" customFormat="1" ht="13.5">
      <c r="A340" s="156" t="s">
        <v>334</v>
      </c>
      <c r="B340" s="155" t="s">
        <v>335</v>
      </c>
      <c r="C340" s="151" t="s">
        <v>344</v>
      </c>
      <c r="D340" s="153">
        <v>2398</v>
      </c>
    </row>
    <row r="341" spans="1:4" ht="24">
      <c r="A341" s="160" t="s">
        <v>340</v>
      </c>
      <c r="B341" s="172" t="s">
        <v>427</v>
      </c>
      <c r="C341" s="162"/>
      <c r="D341" s="153"/>
    </row>
    <row r="342" spans="1:4" ht="12">
      <c r="A342" s="160"/>
      <c r="B342" s="156" t="s">
        <v>298</v>
      </c>
      <c r="C342" s="162" t="s">
        <v>341</v>
      </c>
      <c r="D342" s="153">
        <v>2209.8</v>
      </c>
    </row>
    <row r="343" spans="1:4" ht="12">
      <c r="A343" s="160"/>
      <c r="B343" s="156" t="s">
        <v>299</v>
      </c>
      <c r="C343" s="162" t="s">
        <v>341</v>
      </c>
      <c r="D343" s="153">
        <v>2519.7</v>
      </c>
    </row>
    <row r="344" spans="1:4" ht="12">
      <c r="A344" s="160"/>
      <c r="B344" s="156" t="s">
        <v>300</v>
      </c>
      <c r="C344" s="162" t="s">
        <v>341</v>
      </c>
      <c r="D344" s="153">
        <v>3049.7</v>
      </c>
    </row>
    <row r="345" spans="1:4" ht="12">
      <c r="A345" s="160"/>
      <c r="B345" s="156" t="s">
        <v>301</v>
      </c>
      <c r="C345" s="162" t="s">
        <v>341</v>
      </c>
      <c r="D345" s="153">
        <v>3739.6</v>
      </c>
    </row>
    <row r="346" spans="1:4" s="182" customFormat="1" ht="41.25" customHeight="1" hidden="1">
      <c r="A346" s="179" t="s">
        <v>444</v>
      </c>
      <c r="B346" s="180" t="s">
        <v>445</v>
      </c>
      <c r="C346" s="181" t="s">
        <v>446</v>
      </c>
      <c r="D346" s="153">
        <v>0</v>
      </c>
    </row>
    <row r="347" spans="1:4" s="182" customFormat="1" ht="34.5" customHeight="1" hidden="1">
      <c r="A347" s="179"/>
      <c r="B347" s="180" t="s">
        <v>447</v>
      </c>
      <c r="C347" s="181" t="s">
        <v>446</v>
      </c>
      <c r="D347" s="153">
        <v>0</v>
      </c>
    </row>
    <row r="348" spans="1:4" s="182" customFormat="1" ht="12" hidden="1">
      <c r="A348" s="179"/>
      <c r="B348" s="180" t="s">
        <v>448</v>
      </c>
      <c r="C348" s="181" t="s">
        <v>446</v>
      </c>
      <c r="D348" s="153">
        <v>0</v>
      </c>
    </row>
    <row r="349" spans="1:4" s="182" customFormat="1" ht="12" hidden="1">
      <c r="A349" s="179"/>
      <c r="B349" s="180" t="s">
        <v>449</v>
      </c>
      <c r="C349" s="181" t="s">
        <v>446</v>
      </c>
      <c r="D349" s="153">
        <v>0</v>
      </c>
    </row>
    <row r="350" spans="1:4" s="182" customFormat="1" ht="24" hidden="1">
      <c r="A350" s="179" t="s">
        <v>450</v>
      </c>
      <c r="B350" s="183" t="s">
        <v>451</v>
      </c>
      <c r="C350" s="181"/>
      <c r="D350" s="153">
        <v>0</v>
      </c>
    </row>
    <row r="351" spans="1:4" s="182" customFormat="1" ht="12" hidden="1">
      <c r="A351" s="179"/>
      <c r="B351" s="184" t="s">
        <v>452</v>
      </c>
      <c r="C351" s="181" t="s">
        <v>446</v>
      </c>
      <c r="D351" s="153">
        <v>0</v>
      </c>
    </row>
    <row r="352" spans="1:4" s="182" customFormat="1" ht="12" hidden="1">
      <c r="A352" s="179"/>
      <c r="B352" s="184" t="s">
        <v>453</v>
      </c>
      <c r="C352" s="181" t="s">
        <v>446</v>
      </c>
      <c r="D352" s="153">
        <v>0</v>
      </c>
    </row>
    <row r="353" spans="1:4" s="182" customFormat="1" ht="12" hidden="1">
      <c r="A353" s="179"/>
      <c r="B353" s="184" t="s">
        <v>454</v>
      </c>
      <c r="C353" s="181" t="s">
        <v>446</v>
      </c>
      <c r="D353" s="153">
        <v>0</v>
      </c>
    </row>
    <row r="354" spans="1:4" s="182" customFormat="1" ht="12" hidden="1">
      <c r="A354" s="179"/>
      <c r="B354" s="184" t="s">
        <v>455</v>
      </c>
      <c r="C354" s="181" t="s">
        <v>446</v>
      </c>
      <c r="D354" s="153">
        <v>0</v>
      </c>
    </row>
    <row r="355" spans="1:4" s="182" customFormat="1" ht="24" hidden="1">
      <c r="A355" s="179" t="s">
        <v>456</v>
      </c>
      <c r="B355" s="183" t="s">
        <v>457</v>
      </c>
      <c r="C355" s="181"/>
      <c r="D355" s="153">
        <v>0</v>
      </c>
    </row>
    <row r="356" spans="1:4" s="182" customFormat="1" ht="12" hidden="1">
      <c r="A356" s="179"/>
      <c r="B356" s="184" t="s">
        <v>458</v>
      </c>
      <c r="C356" s="181" t="s">
        <v>446</v>
      </c>
      <c r="D356" s="153">
        <v>0</v>
      </c>
    </row>
    <row r="357" spans="1:4" s="182" customFormat="1" ht="12" hidden="1">
      <c r="A357" s="179"/>
      <c r="B357" s="184" t="s">
        <v>459</v>
      </c>
      <c r="C357" s="181" t="s">
        <v>446</v>
      </c>
      <c r="D357" s="153">
        <v>0</v>
      </c>
    </row>
    <row r="358" spans="1:4" s="182" customFormat="1" ht="12" hidden="1">
      <c r="A358" s="179"/>
      <c r="B358" s="184" t="s">
        <v>460</v>
      </c>
      <c r="C358" s="181" t="s">
        <v>446</v>
      </c>
      <c r="D358" s="153">
        <v>0</v>
      </c>
    </row>
    <row r="359" spans="1:4" s="182" customFormat="1" ht="12" hidden="1">
      <c r="A359" s="179"/>
      <c r="B359" s="184" t="s">
        <v>461</v>
      </c>
      <c r="C359" s="181" t="s">
        <v>446</v>
      </c>
      <c r="D359" s="153">
        <v>0</v>
      </c>
    </row>
    <row r="360" spans="1:4" s="182" customFormat="1" ht="12" hidden="1">
      <c r="A360" s="179"/>
      <c r="B360" s="184" t="s">
        <v>462</v>
      </c>
      <c r="C360" s="181" t="s">
        <v>446</v>
      </c>
      <c r="D360" s="153">
        <v>0</v>
      </c>
    </row>
    <row r="361" spans="1:4" s="182" customFormat="1" ht="12" hidden="1">
      <c r="A361" s="179" t="s">
        <v>463</v>
      </c>
      <c r="B361" s="180" t="s">
        <v>464</v>
      </c>
      <c r="C361" s="181" t="s">
        <v>446</v>
      </c>
      <c r="D361" s="153">
        <v>0</v>
      </c>
    </row>
    <row r="362" spans="1:4" s="182" customFormat="1" ht="24" hidden="1">
      <c r="A362" s="179" t="s">
        <v>465</v>
      </c>
      <c r="B362" s="180" t="s">
        <v>466</v>
      </c>
      <c r="C362" s="181" t="s">
        <v>467</v>
      </c>
      <c r="D362" s="153">
        <v>0</v>
      </c>
    </row>
    <row r="363" spans="1:4" s="182" customFormat="1" ht="12" hidden="1">
      <c r="A363" s="179" t="s">
        <v>468</v>
      </c>
      <c r="B363" s="180" t="s">
        <v>469</v>
      </c>
      <c r="C363" s="181" t="s">
        <v>467</v>
      </c>
      <c r="D363" s="153">
        <v>0</v>
      </c>
    </row>
    <row r="364" spans="1:4" s="182" customFormat="1" ht="12">
      <c r="A364" s="160" t="s">
        <v>470</v>
      </c>
      <c r="B364" s="191" t="s">
        <v>471</v>
      </c>
      <c r="C364" s="162" t="s">
        <v>472</v>
      </c>
      <c r="D364" s="153">
        <v>211.4</v>
      </c>
    </row>
    <row r="365" spans="1:4" s="182" customFormat="1" ht="36" hidden="1">
      <c r="A365" s="179" t="s">
        <v>473</v>
      </c>
      <c r="B365" s="180" t="s">
        <v>474</v>
      </c>
      <c r="C365" s="181" t="s">
        <v>475</v>
      </c>
      <c r="D365" s="153">
        <v>0</v>
      </c>
    </row>
    <row r="366" spans="1:4" s="182" customFormat="1" ht="36" hidden="1">
      <c r="A366" s="179" t="s">
        <v>476</v>
      </c>
      <c r="B366" s="180" t="s">
        <v>477</v>
      </c>
      <c r="C366" s="181" t="s">
        <v>475</v>
      </c>
      <c r="D366" s="153">
        <v>0</v>
      </c>
    </row>
    <row r="367" spans="1:4" s="182" customFormat="1" ht="24" hidden="1">
      <c r="A367" s="185" t="s">
        <v>478</v>
      </c>
      <c r="B367" s="186" t="s">
        <v>479</v>
      </c>
      <c r="C367" s="187"/>
      <c r="D367" s="153">
        <v>0</v>
      </c>
    </row>
    <row r="368" spans="1:4" s="182" customFormat="1" ht="12" hidden="1">
      <c r="A368" s="185"/>
      <c r="B368" s="188" t="s">
        <v>458</v>
      </c>
      <c r="C368" s="187" t="s">
        <v>480</v>
      </c>
      <c r="D368" s="153">
        <v>0</v>
      </c>
    </row>
    <row r="369" spans="1:4" s="182" customFormat="1" ht="12" hidden="1">
      <c r="A369" s="185"/>
      <c r="B369" s="188" t="s">
        <v>459</v>
      </c>
      <c r="C369" s="187" t="s">
        <v>480</v>
      </c>
      <c r="D369" s="153">
        <v>0</v>
      </c>
    </row>
    <row r="370" spans="1:4" s="182" customFormat="1" ht="12" hidden="1">
      <c r="A370" s="185"/>
      <c r="B370" s="188" t="s">
        <v>460</v>
      </c>
      <c r="C370" s="187" t="s">
        <v>480</v>
      </c>
      <c r="D370" s="153">
        <v>0</v>
      </c>
    </row>
    <row r="371" spans="1:4" s="182" customFormat="1" ht="12" hidden="1">
      <c r="A371" s="185"/>
      <c r="B371" s="188" t="s">
        <v>461</v>
      </c>
      <c r="C371" s="187" t="s">
        <v>480</v>
      </c>
      <c r="D371" s="153">
        <v>0</v>
      </c>
    </row>
    <row r="372" spans="1:4" s="182" customFormat="1" ht="12" hidden="1">
      <c r="A372" s="185"/>
      <c r="B372" s="188" t="s">
        <v>462</v>
      </c>
      <c r="C372" s="189" t="s">
        <v>480</v>
      </c>
      <c r="D372" s="153">
        <v>0</v>
      </c>
    </row>
    <row r="373" spans="1:4" ht="24">
      <c r="A373" s="156" t="s">
        <v>481</v>
      </c>
      <c r="B373" s="170" t="s">
        <v>482</v>
      </c>
      <c r="C373" s="138" t="s">
        <v>486</v>
      </c>
      <c r="D373" s="153">
        <v>1381</v>
      </c>
    </row>
    <row r="374" ht="12">
      <c r="C374" s="138"/>
    </row>
    <row r="375" ht="12">
      <c r="C375" s="138"/>
    </row>
    <row r="376" ht="12">
      <c r="C376" s="138"/>
    </row>
    <row r="377" ht="12">
      <c r="C377" s="138"/>
    </row>
    <row r="378" ht="12">
      <c r="C378" s="138"/>
    </row>
    <row r="379" ht="12">
      <c r="C379" s="138"/>
    </row>
    <row r="380" ht="12">
      <c r="C380" s="138"/>
    </row>
    <row r="381" ht="12">
      <c r="C381" s="138"/>
    </row>
    <row r="382" ht="12">
      <c r="C382" s="138"/>
    </row>
    <row r="383" ht="12">
      <c r="C383" s="138"/>
    </row>
    <row r="384" ht="12">
      <c r="C384" s="138"/>
    </row>
    <row r="385" ht="12">
      <c r="C385" s="138"/>
    </row>
    <row r="386" ht="12">
      <c r="C386" s="138"/>
    </row>
    <row r="387" ht="12">
      <c r="C387" s="138"/>
    </row>
    <row r="388" ht="12">
      <c r="C388" s="138"/>
    </row>
    <row r="389" ht="12">
      <c r="C389" s="138"/>
    </row>
    <row r="390" ht="12">
      <c r="C390" s="138"/>
    </row>
    <row r="391" ht="12">
      <c r="C391" s="138"/>
    </row>
    <row r="392" ht="12">
      <c r="C392" s="138"/>
    </row>
    <row r="393" ht="12">
      <c r="C393" s="138"/>
    </row>
    <row r="394" ht="12">
      <c r="C394" s="138"/>
    </row>
    <row r="395" ht="12">
      <c r="C395" s="138"/>
    </row>
    <row r="396" ht="12">
      <c r="C396" s="138"/>
    </row>
    <row r="397" ht="12">
      <c r="C397" s="138"/>
    </row>
  </sheetData>
  <sheetProtection/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85" r:id="rId1"/>
  <rowBreaks count="5" manualBreakCount="5">
    <brk id="82" max="19" man="1"/>
    <brk id="118" max="255" man="1"/>
    <brk id="180" max="19" man="1"/>
    <brk id="239" max="19" man="1"/>
    <brk id="29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3:A43"/>
  <sheetViews>
    <sheetView zoomScalePageLayoutView="0" workbookViewId="0" topLeftCell="A1">
      <selection activeCell="A43" sqref="A43"/>
    </sheetView>
  </sheetViews>
  <sheetFormatPr defaultColWidth="9.140625" defaultRowHeight="12.75"/>
  <sheetData>
    <row r="43" ht="12.75">
      <c r="A43" s="178" t="s">
        <v>487</v>
      </c>
    </row>
  </sheetData>
  <sheetProtection/>
  <hyperlinks>
    <hyperlink ref="A43" location="'2019'!A1" display="'2019'!A1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Челябинскгоргаз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Кондрашкин Владимир Павлович</dc:creator>
  <cp:keywords/>
  <dc:description/>
  <cp:lastModifiedBy>Горбунова Ольга Петровна</cp:lastModifiedBy>
  <cp:lastPrinted>2023-10-04T06:51:46Z</cp:lastPrinted>
  <dcterms:created xsi:type="dcterms:W3CDTF">1999-07-07T09:07:43Z</dcterms:created>
  <dcterms:modified xsi:type="dcterms:W3CDTF">2023-10-04T06:52:01Z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